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tabRatio="871" activeTab="2"/>
  </bookViews>
  <sheets>
    <sheet name="Лист3" sheetId="8" r:id="rId1"/>
    <sheet name="Дополнительное образование ДЮСШ" sheetId="7" r:id="rId2"/>
    <sheet name="Дополнительное образование  ДДТ" sheetId="6" r:id="rId3"/>
    <sheet name="Лист1" sheetId="4" r:id="rId4"/>
    <sheet name="Лист2" sheetId="5" r:id="rId5"/>
  </sheets>
  <definedNames>
    <definedName name="_xlnm.Print_Area" localSheetId="2">'Дополнительное образование  ДДТ'!$A$1:$J$27</definedName>
  </definedNames>
  <calcPr calcId="114210"/>
</workbook>
</file>

<file path=xl/calcChain.xml><?xml version="1.0" encoding="utf-8"?>
<calcChain xmlns="http://schemas.openxmlformats.org/spreadsheetml/2006/main">
  <c r="D7" i="8"/>
  <c r="J18" i="7"/>
  <c r="H18"/>
  <c r="E19"/>
  <c r="F19"/>
  <c r="G19"/>
  <c r="H19"/>
  <c r="I19"/>
  <c r="J19"/>
  <c r="D19"/>
  <c r="J19" i="6"/>
  <c r="D18"/>
  <c r="E18"/>
  <c r="F18"/>
  <c r="G18"/>
  <c r="H18"/>
  <c r="I18"/>
  <c r="J18"/>
  <c r="J17"/>
  <c r="H17"/>
  <c r="I16"/>
  <c r="E59" i="8"/>
  <c r="D53"/>
  <c r="D54"/>
  <c r="D13"/>
  <c r="D8"/>
  <c r="H6" i="7"/>
  <c r="F28"/>
  <c r="G28"/>
  <c r="H28"/>
  <c r="G27" i="6"/>
  <c r="F27"/>
  <c r="H27"/>
  <c r="D26" i="7"/>
  <c r="H4"/>
  <c r="I4"/>
  <c r="J4"/>
  <c r="G6"/>
  <c r="J6"/>
  <c r="H7"/>
  <c r="J7"/>
  <c r="H8"/>
  <c r="J8"/>
  <c r="H9"/>
  <c r="J9"/>
  <c r="J5"/>
  <c r="F10"/>
  <c r="H10"/>
  <c r="J10"/>
  <c r="H12"/>
  <c r="J12"/>
  <c r="H13"/>
  <c r="J13"/>
  <c r="H16"/>
  <c r="J16"/>
  <c r="H17"/>
  <c r="I17"/>
  <c r="J17"/>
  <c r="J20"/>
  <c r="H5"/>
  <c r="G5"/>
  <c r="F5"/>
  <c r="E5"/>
  <c r="D5"/>
  <c r="D10"/>
  <c r="D16"/>
  <c r="H15"/>
  <c r="J15"/>
  <c r="H14"/>
  <c r="J14"/>
  <c r="H4" i="6"/>
  <c r="J4"/>
  <c r="E6"/>
  <c r="G6"/>
  <c r="H6"/>
  <c r="J6"/>
  <c r="H7"/>
  <c r="J7"/>
  <c r="H8"/>
  <c r="J8"/>
  <c r="H9"/>
  <c r="J9"/>
  <c r="J5"/>
  <c r="H10"/>
  <c r="J10"/>
  <c r="H11"/>
  <c r="J11"/>
  <c r="H12"/>
  <c r="J12"/>
  <c r="H15"/>
  <c r="J15"/>
  <c r="H16"/>
  <c r="J16"/>
  <c r="E25"/>
  <c r="F5"/>
  <c r="G5"/>
  <c r="H5"/>
  <c r="I5"/>
  <c r="E5"/>
  <c r="D4"/>
  <c r="D5"/>
  <c r="D10"/>
  <c r="D11"/>
  <c r="D15"/>
  <c r="D16"/>
  <c r="H13"/>
  <c r="J13"/>
  <c r="H14"/>
  <c r="J14"/>
  <c r="H170" i="4"/>
  <c r="H189"/>
  <c r="H238"/>
  <c r="H288"/>
  <c r="H169"/>
  <c r="H190"/>
  <c r="H239"/>
  <c r="H289"/>
  <c r="H191"/>
  <c r="H216"/>
  <c r="H240"/>
  <c r="H290"/>
  <c r="H168"/>
  <c r="H192"/>
  <c r="H217"/>
  <c r="H241"/>
  <c r="H291"/>
  <c r="H193"/>
  <c r="H242"/>
  <c r="H292"/>
  <c r="H287"/>
  <c r="H264"/>
  <c r="H246"/>
  <c r="H283"/>
  <c r="H254"/>
  <c r="H247"/>
  <c r="H284"/>
  <c r="H282"/>
  <c r="H165"/>
  <c r="H186"/>
  <c r="H213"/>
  <c r="H235"/>
  <c r="H285"/>
  <c r="H166"/>
  <c r="H187"/>
  <c r="H214"/>
  <c r="H236"/>
  <c r="H286"/>
  <c r="H156"/>
  <c r="H177"/>
  <c r="H204"/>
  <c r="H226"/>
  <c r="H273"/>
  <c r="H157"/>
  <c r="H178"/>
  <c r="H205"/>
  <c r="H196"/>
  <c r="H227"/>
  <c r="H274"/>
  <c r="H22"/>
  <c r="H158"/>
  <c r="H67"/>
  <c r="H95"/>
  <c r="H179"/>
  <c r="H134"/>
  <c r="H206"/>
  <c r="H228"/>
  <c r="H275"/>
  <c r="H163"/>
  <c r="H184"/>
  <c r="H211"/>
  <c r="H233"/>
  <c r="H280"/>
  <c r="H164"/>
  <c r="H185"/>
  <c r="H212"/>
  <c r="H197"/>
  <c r="H234"/>
  <c r="H263"/>
  <c r="H245"/>
  <c r="H281"/>
  <c r="H272"/>
  <c r="H152"/>
  <c r="H173"/>
  <c r="H200"/>
  <c r="H222"/>
  <c r="H269"/>
  <c r="H153"/>
  <c r="H174"/>
  <c r="H201"/>
  <c r="H195"/>
  <c r="H223"/>
  <c r="H253"/>
  <c r="H244"/>
  <c r="H270"/>
  <c r="H154"/>
  <c r="H175"/>
  <c r="H202"/>
  <c r="H224"/>
  <c r="H271"/>
  <c r="H268"/>
  <c r="H293"/>
  <c r="G170"/>
  <c r="G78"/>
  <c r="G189"/>
  <c r="G238"/>
  <c r="G288"/>
  <c r="G33"/>
  <c r="G169"/>
  <c r="G190"/>
  <c r="G239"/>
  <c r="G289"/>
  <c r="G191"/>
  <c r="G144"/>
  <c r="G216"/>
  <c r="G240"/>
  <c r="G290"/>
  <c r="G168"/>
  <c r="G104"/>
  <c r="G81"/>
  <c r="G52"/>
  <c r="G192"/>
  <c r="G145"/>
  <c r="G217"/>
  <c r="G241"/>
  <c r="G291"/>
  <c r="G193"/>
  <c r="G242"/>
  <c r="G292"/>
  <c r="G287"/>
  <c r="G264"/>
  <c r="G246"/>
  <c r="G283"/>
  <c r="G252"/>
  <c r="G254"/>
  <c r="G247"/>
  <c r="G284"/>
  <c r="G282"/>
  <c r="G29"/>
  <c r="G165"/>
  <c r="G105"/>
  <c r="G186"/>
  <c r="G141"/>
  <c r="G147"/>
  <c r="G146"/>
  <c r="G213"/>
  <c r="G235"/>
  <c r="G285"/>
  <c r="G166"/>
  <c r="G51"/>
  <c r="G75"/>
  <c r="G187"/>
  <c r="G214"/>
  <c r="G236"/>
  <c r="G286"/>
  <c r="G21"/>
  <c r="G156"/>
  <c r="G48"/>
  <c r="G177"/>
  <c r="G204"/>
  <c r="G226"/>
  <c r="G273"/>
  <c r="G157"/>
  <c r="G178"/>
  <c r="G133"/>
  <c r="G205"/>
  <c r="G196"/>
  <c r="G227"/>
  <c r="G274"/>
  <c r="G23"/>
  <c r="G22"/>
  <c r="G158"/>
  <c r="G67"/>
  <c r="G95"/>
  <c r="G179"/>
  <c r="G134"/>
  <c r="G206"/>
  <c r="G228"/>
  <c r="G275"/>
  <c r="G27"/>
  <c r="G163"/>
  <c r="G72"/>
  <c r="G100"/>
  <c r="G184"/>
  <c r="G211"/>
  <c r="G233"/>
  <c r="G280"/>
  <c r="G28"/>
  <c r="G164"/>
  <c r="G73"/>
  <c r="G185"/>
  <c r="G140"/>
  <c r="G212"/>
  <c r="G197"/>
  <c r="G234"/>
  <c r="G263"/>
  <c r="G245"/>
  <c r="G281"/>
  <c r="G272"/>
  <c r="G152"/>
  <c r="G173"/>
  <c r="G126"/>
  <c r="G200"/>
  <c r="G222"/>
  <c r="G269"/>
  <c r="G153"/>
  <c r="G174"/>
  <c r="G201"/>
  <c r="G195"/>
  <c r="G223"/>
  <c r="G250"/>
  <c r="G253"/>
  <c r="G244"/>
  <c r="G270"/>
  <c r="G154"/>
  <c r="G175"/>
  <c r="G202"/>
  <c r="G224"/>
  <c r="G271"/>
  <c r="G268"/>
  <c r="G293"/>
  <c r="I293"/>
  <c r="I292"/>
  <c r="I291"/>
  <c r="I289"/>
  <c r="I288"/>
  <c r="I287"/>
  <c r="I286"/>
  <c r="I285"/>
  <c r="I284"/>
  <c r="I283"/>
  <c r="I282"/>
  <c r="I281"/>
  <c r="I280"/>
  <c r="H210"/>
  <c r="H183"/>
  <c r="H162"/>
  <c r="H232"/>
  <c r="H279"/>
  <c r="G210"/>
  <c r="G183"/>
  <c r="G162"/>
  <c r="G232"/>
  <c r="G279"/>
  <c r="I279"/>
  <c r="H209"/>
  <c r="H182"/>
  <c r="H161"/>
  <c r="H231"/>
  <c r="H278"/>
  <c r="G209"/>
  <c r="G182"/>
  <c r="G161"/>
  <c r="G231"/>
  <c r="G278"/>
  <c r="I278"/>
  <c r="H208"/>
  <c r="H181"/>
  <c r="H160"/>
  <c r="H230"/>
  <c r="H277"/>
  <c r="G208"/>
  <c r="G181"/>
  <c r="G160"/>
  <c r="G230"/>
  <c r="G277"/>
  <c r="I277"/>
  <c r="H207"/>
  <c r="H180"/>
  <c r="H159"/>
  <c r="H229"/>
  <c r="H276"/>
  <c r="G207"/>
  <c r="G180"/>
  <c r="G159"/>
  <c r="G229"/>
  <c r="G276"/>
  <c r="I276"/>
  <c r="I275"/>
  <c r="I274"/>
  <c r="I273"/>
  <c r="I272"/>
  <c r="I271"/>
  <c r="I270"/>
  <c r="I269"/>
  <c r="I268"/>
  <c r="H265"/>
  <c r="G265"/>
  <c r="I265"/>
  <c r="I264"/>
  <c r="I263"/>
  <c r="I262"/>
  <c r="I261"/>
  <c r="I260"/>
  <c r="I259"/>
  <c r="I258"/>
  <c r="I257"/>
  <c r="I256"/>
  <c r="H255"/>
  <c r="G255"/>
  <c r="I255"/>
  <c r="I254"/>
  <c r="I251"/>
  <c r="I250"/>
  <c r="I253"/>
  <c r="I252"/>
  <c r="H248"/>
  <c r="G248"/>
  <c r="I248"/>
  <c r="I247"/>
  <c r="I246"/>
  <c r="I245"/>
  <c r="I244"/>
  <c r="H237"/>
  <c r="H225"/>
  <c r="H221"/>
  <c r="H243"/>
  <c r="G237"/>
  <c r="G225"/>
  <c r="G221"/>
  <c r="G243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H215"/>
  <c r="H203"/>
  <c r="H199"/>
  <c r="H218"/>
  <c r="G215"/>
  <c r="G203"/>
  <c r="G199"/>
  <c r="G218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5"/>
  <c r="I196"/>
  <c r="I197"/>
  <c r="I198"/>
  <c r="H198"/>
  <c r="G198"/>
  <c r="H188"/>
  <c r="H176"/>
  <c r="H172"/>
  <c r="H194"/>
  <c r="G188"/>
  <c r="G176"/>
  <c r="G172"/>
  <c r="G194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H167"/>
  <c r="H155"/>
  <c r="H151"/>
  <c r="H171"/>
  <c r="G167"/>
  <c r="G155"/>
  <c r="G151"/>
  <c r="G171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H143"/>
  <c r="H131"/>
  <c r="H128"/>
  <c r="H125"/>
  <c r="H148"/>
  <c r="G143"/>
  <c r="G131"/>
  <c r="G128"/>
  <c r="G125"/>
  <c r="G148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H118"/>
  <c r="H121"/>
  <c r="G118"/>
  <c r="G121"/>
  <c r="I121"/>
  <c r="I120"/>
  <c r="I119"/>
  <c r="I118"/>
  <c r="H114"/>
  <c r="H117"/>
  <c r="G114"/>
  <c r="G117"/>
  <c r="I117"/>
  <c r="I116"/>
  <c r="I115"/>
  <c r="I114"/>
  <c r="H108"/>
  <c r="H112"/>
  <c r="G108"/>
  <c r="G112"/>
  <c r="I112"/>
  <c r="I111"/>
  <c r="I110"/>
  <c r="I109"/>
  <c r="I108"/>
  <c r="H93"/>
  <c r="H90"/>
  <c r="H107"/>
  <c r="G93"/>
  <c r="G90"/>
  <c r="G107"/>
  <c r="I107"/>
  <c r="I106"/>
  <c r="I105"/>
  <c r="I104"/>
  <c r="I102"/>
  <c r="H102"/>
  <c r="G102"/>
  <c r="I101"/>
  <c r="I100"/>
  <c r="I99"/>
  <c r="I98"/>
  <c r="I97"/>
  <c r="I96"/>
  <c r="I95"/>
  <c r="I94"/>
  <c r="I93"/>
  <c r="I92"/>
  <c r="I91"/>
  <c r="I90"/>
  <c r="I87"/>
  <c r="I88"/>
  <c r="H88"/>
  <c r="G88"/>
  <c r="H76"/>
  <c r="H65"/>
  <c r="H61"/>
  <c r="H84"/>
  <c r="G76"/>
  <c r="G65"/>
  <c r="G61"/>
  <c r="G84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59"/>
  <c r="I60"/>
  <c r="H60"/>
  <c r="G60"/>
  <c r="H54"/>
  <c r="H57"/>
  <c r="G54"/>
  <c r="G57"/>
  <c r="I57"/>
  <c r="I56"/>
  <c r="I55"/>
  <c r="I54"/>
  <c r="H47"/>
  <c r="H44"/>
  <c r="H53"/>
  <c r="G47"/>
  <c r="G44"/>
  <c r="G53"/>
  <c r="I53"/>
  <c r="I52"/>
  <c r="I51"/>
  <c r="I50"/>
  <c r="I49"/>
  <c r="I48"/>
  <c r="I47"/>
  <c r="I46"/>
  <c r="I45"/>
  <c r="I44"/>
  <c r="H40"/>
  <c r="G40"/>
  <c r="I40"/>
  <c r="I43"/>
  <c r="H43"/>
  <c r="G43"/>
  <c r="I42"/>
  <c r="I41"/>
  <c r="H20"/>
  <c r="G20"/>
  <c r="I20"/>
  <c r="H17"/>
  <c r="G17"/>
  <c r="I17"/>
  <c r="I36"/>
  <c r="I37"/>
  <c r="I38"/>
  <c r="H14"/>
  <c r="H38"/>
  <c r="G14"/>
  <c r="G38"/>
  <c r="I34"/>
  <c r="I33"/>
  <c r="I32"/>
  <c r="H31"/>
  <c r="G31"/>
  <c r="I31"/>
  <c r="I30"/>
  <c r="I29"/>
  <c r="I28"/>
  <c r="I27"/>
  <c r="I26"/>
  <c r="I25"/>
  <c r="I24"/>
  <c r="I23"/>
  <c r="I22"/>
  <c r="I21"/>
  <c r="I19"/>
  <c r="I18"/>
  <c r="I16"/>
  <c r="I15"/>
  <c r="I14"/>
  <c r="H10"/>
  <c r="H13"/>
  <c r="G10"/>
  <c r="G13"/>
  <c r="I13"/>
  <c r="I12"/>
  <c r="I11"/>
  <c r="I10"/>
  <c r="H9"/>
  <c r="G9"/>
  <c r="I9"/>
  <c r="I8"/>
  <c r="I7"/>
  <c r="H6"/>
  <c r="G6"/>
  <c r="I6"/>
  <c r="G12" i="5"/>
  <c r="G21"/>
  <c r="G28"/>
  <c r="G30"/>
  <c r="G29"/>
  <c r="G31"/>
  <c r="H12"/>
  <c r="H21"/>
  <c r="H9"/>
  <c r="H6"/>
  <c r="H3"/>
  <c r="H26"/>
  <c r="G25"/>
  <c r="G24"/>
  <c r="G9"/>
  <c r="G6"/>
  <c r="G3"/>
  <c r="G26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<sst xmlns="http://schemas.openxmlformats.org/spreadsheetml/2006/main" count="1105" uniqueCount="191">
  <si>
    <t>Направления финансирования / наименование общеобразовательного учреждения</t>
  </si>
  <si>
    <t>Исчислено</t>
  </si>
  <si>
    <t>Утверждено</t>
  </si>
  <si>
    <t>Услуги связи</t>
  </si>
  <si>
    <t>статья</t>
  </si>
  <si>
    <t>Прочие услуги</t>
  </si>
  <si>
    <t>Увеличение стоимости основных средств</t>
  </si>
  <si>
    <t>Увеличение стоимости материальных запасов</t>
  </si>
  <si>
    <t>Коммунальные расходы</t>
  </si>
  <si>
    <t>отопление</t>
  </si>
  <si>
    <t>освещение</t>
  </si>
  <si>
    <t>водоснабж.</t>
  </si>
  <si>
    <t>прочие</t>
  </si>
  <si>
    <t>Ремонтные работы</t>
  </si>
  <si>
    <t>ДДТ</t>
  </si>
  <si>
    <t>ДЮСШ</t>
  </si>
  <si>
    <t>Прочие расходы</t>
  </si>
  <si>
    <t>Ведомство:115-Муниципальное учреждение Мокроусовский районный отдел образования</t>
  </si>
  <si>
    <t xml:space="preserve">Код бюджетной классификации </t>
  </si>
  <si>
    <t>Уточненные годовые назначения</t>
  </si>
  <si>
    <t>Исполнение       (кассовые расходы)</t>
  </si>
  <si>
    <t>отклонения</t>
  </si>
  <si>
    <t>Раздел/   Подраздел</t>
  </si>
  <si>
    <t>Целевая статья</t>
  </si>
  <si>
    <t>Виды расходов</t>
  </si>
  <si>
    <t>КОСГУ</t>
  </si>
  <si>
    <t>Доп.клас-сификация</t>
  </si>
  <si>
    <t>Дошкольное образование</t>
  </si>
  <si>
    <t>Реализация государственного стандарта дошкольного образования на оплату труда(расходы на выплату персоналу в целях обеспечения выполнения функций муниципальными органами,казенными учреждениями)</t>
  </si>
  <si>
    <t>0701</t>
  </si>
  <si>
    <t>0801201</t>
  </si>
  <si>
    <t>111</t>
  </si>
  <si>
    <t>Фонд оплаты труда казенных учреждений и взносы по обязательному социальному страхованию Заработная плата</t>
  </si>
  <si>
    <t>211</t>
  </si>
  <si>
    <t>Фонд оплаты труда казенных учреждений и взносы по обязательному социальному страхованию Начисления на выплаты по оплате труда</t>
  </si>
  <si>
    <t>213</t>
  </si>
  <si>
    <t>Реализация государственного стандарта дошкольного образования на учебно-наглядные пособия,игры.игрушки,расходные материалы(Закупка товаров,работ и услуг для муниципальных нужд)</t>
  </si>
  <si>
    <t>0801202</t>
  </si>
  <si>
    <t>244</t>
  </si>
  <si>
    <t>310</t>
  </si>
  <si>
    <t>340</t>
  </si>
  <si>
    <t>345</t>
  </si>
  <si>
    <t>0808015</t>
  </si>
  <si>
    <t>112</t>
  </si>
  <si>
    <t>Иные выплаты персоналу казенных учреждений, за исключением фонда оплаты труда                                       Прочие выплаты</t>
  </si>
  <si>
    <t>212</t>
  </si>
  <si>
    <t>Иные выплаты персоналу казенных учреждений, за исключением фонда оплаты труда           Транспортные услуги</t>
  </si>
  <si>
    <t>222</t>
  </si>
  <si>
    <t>Развитие дошкольного образования                   Закупка товаров,работ и услуг для муниципальных нужд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</si>
  <si>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</si>
  <si>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</si>
  <si>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</si>
  <si>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</si>
  <si>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</si>
  <si>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</si>
  <si>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</si>
  <si>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питание</t>
  </si>
  <si>
    <t>342</t>
  </si>
  <si>
    <t>топливо</t>
  </si>
  <si>
    <t>343</t>
  </si>
  <si>
    <t>Уплата налога на имущество организаций и земельного налога</t>
  </si>
  <si>
    <t>851</t>
  </si>
  <si>
    <t>290</t>
  </si>
  <si>
    <t>Уплата прочих налогов, сборов и иных платежей</t>
  </si>
  <si>
    <t>852</t>
  </si>
  <si>
    <t>Общее образование</t>
  </si>
  <si>
    <t>Реализация государственного стандарта общего образования на оплату труда(расходы на выплату персоналу в целях обеспечения выполнения функций муниципальными органами,казенными учреждениями)</t>
  </si>
  <si>
    <t>0702</t>
  </si>
  <si>
    <t>0801203</t>
  </si>
  <si>
    <t>Реализация государственного стандарта общего образования на обеспечение учебного процесса</t>
  </si>
  <si>
    <t>0801204</t>
  </si>
  <si>
    <t>Закупка товаров,работ и услуг для муниципальных нужд</t>
  </si>
  <si>
    <t>Выплата ежемесячного денежного вознагражднения за классное руководство(расходы на выплату персоналу в целях обеспечения выполнения функций муниципальными органами,казенными учреждениями)</t>
  </si>
  <si>
    <t>0801209</t>
  </si>
  <si>
    <t>Организация предоставления дополнительного профессионального образования педагогическим работникам(Закупка товаров,работ и услуг для муниципальных нужд)</t>
  </si>
  <si>
    <t>0801213</t>
  </si>
  <si>
    <t>Обеспечение питанием обучающихся общеобразовательных учреждений(Закупка товаров,работ и услуг для муниципальных нужд)                                                   Увеличение стоимости материальных запасов</t>
  </si>
  <si>
    <t>0801224</t>
  </si>
  <si>
    <t>Обеспечение деятельности общеобразовательных учреждений                                                                Расходы на выплаты персоналу казенных учреждений</t>
  </si>
  <si>
    <t>0808016</t>
  </si>
  <si>
    <t>Иные выплаты персоналу казенных учреждений, за исключением фонда оплаты труда                                            Транспортные услуги</t>
  </si>
  <si>
    <t>Обеспечение деятельности общеобразовательных учреждений(Закупка товаров,работ и услуг для муниципальных нужд)</t>
  </si>
  <si>
    <t>медикаменты</t>
  </si>
  <si>
    <t>341</t>
  </si>
  <si>
    <t>ГСМ</t>
  </si>
  <si>
    <t>344</t>
  </si>
  <si>
    <t>Подвоз учащихся(Закупка товаров,работ и услуг для муниципальных нужд)                                                      Увеличение стоимости материальных запасов</t>
  </si>
  <si>
    <t>0808017</t>
  </si>
  <si>
    <t>346</t>
  </si>
  <si>
    <t>Развитие дополнительного образования и воспитания детей</t>
  </si>
  <si>
    <t>Расходы на выплату персоналу в целях обеспечения выполнения функций муниципальными органами,казенными учреждениями</t>
  </si>
  <si>
    <t>0808018</t>
  </si>
  <si>
    <t>0705</t>
  </si>
  <si>
    <t>Прочие выплаты</t>
  </si>
  <si>
    <t>Транспортные услуги</t>
  </si>
  <si>
    <t>Прочие работы и услуги</t>
  </si>
  <si>
    <t>Другие вопросы в области образования</t>
  </si>
  <si>
    <t>Исполнение государственных полномочий по содержанию органов опеки и попечительства(Расходы на выплату персоналу в целях обеспечения выполнения функций муниципальными органами,казенными учреждениями,органами управления государственными внебюджетными фондами)</t>
  </si>
  <si>
    <t>0709</t>
  </si>
  <si>
    <t>0801219</t>
  </si>
  <si>
    <t>121</t>
  </si>
  <si>
    <t>Заработная плата</t>
  </si>
  <si>
    <t>Начисления на выплаты по оплате труда</t>
  </si>
  <si>
    <t>Обеспечение деятельности аппарата управления(Расходы на выплату персоналу в целях обеспечения выполнения функций муниципальными органами,казенными учреждениями,органами управления государственными внебюджетными фондами)</t>
  </si>
  <si>
    <t>0808019</t>
  </si>
  <si>
    <t>Обеспечение деятельности учебно-методического кабинета,централизованной бухгалтерии,группы хозяйственного обслуживания</t>
  </si>
  <si>
    <t>0808020</t>
  </si>
  <si>
    <t>Иные выплаты персоналу казенных учреждений, за исключением фонда оплаты труда</t>
  </si>
  <si>
    <t>0000000</t>
  </si>
  <si>
    <t>000</t>
  </si>
  <si>
    <t>Образование</t>
  </si>
  <si>
    <t>0700</t>
  </si>
  <si>
    <t>Социальная политика</t>
  </si>
  <si>
    <t>1000</t>
  </si>
  <si>
    <t>262</t>
  </si>
  <si>
    <t>263</t>
  </si>
  <si>
    <t>1003</t>
  </si>
  <si>
    <t>5301951</t>
  </si>
  <si>
    <t>313</t>
  </si>
  <si>
    <t>1004</t>
  </si>
  <si>
    <t>5301145</t>
  </si>
  <si>
    <t>5301146</t>
  </si>
  <si>
    <t>5301147</t>
  </si>
  <si>
    <t>5301149</t>
  </si>
  <si>
    <t>5301150</t>
  </si>
  <si>
    <t>5301220</t>
  </si>
  <si>
    <t>5305260</t>
  </si>
  <si>
    <t>Муниципальное учреждение Мокроусовский районный отдел образования</t>
  </si>
  <si>
    <t>0000</t>
  </si>
  <si>
    <t>ВСЕГО</t>
  </si>
  <si>
    <t>Замеры сопротивления(Кошелев)</t>
  </si>
  <si>
    <t>Энергообследование здания(ООО КИНЭ)</t>
  </si>
  <si>
    <t>Институт безопасности труда(обуч.ОТ)</t>
  </si>
  <si>
    <t>Долг по договорам прошлых лет,Всего</t>
  </si>
  <si>
    <t>Договора(нештатник-стадион)</t>
  </si>
  <si>
    <t>Смета на 2014 год</t>
  </si>
  <si>
    <t xml:space="preserve">Итого </t>
  </si>
  <si>
    <t>Всего объем расходов</t>
  </si>
  <si>
    <t>По договорам</t>
  </si>
  <si>
    <t>На торги(надо выставить)</t>
  </si>
  <si>
    <t>долги</t>
  </si>
  <si>
    <t>договора до 01.01.2014</t>
  </si>
  <si>
    <t>остаток по статье на 2014 год</t>
  </si>
  <si>
    <t>Услуги по содержанию имущества,нештатники</t>
  </si>
  <si>
    <t>февраль 2014</t>
  </si>
  <si>
    <t>Развитие дошкольного образования                                           Расходы на выплаты персоналу казенных учреждений</t>
  </si>
  <si>
    <t>Прочие расходы(гос.пошлина)</t>
  </si>
  <si>
    <t>Гос.пошлина</t>
  </si>
  <si>
    <t>831</t>
  </si>
  <si>
    <t>210</t>
  </si>
  <si>
    <t>220</t>
  </si>
  <si>
    <t>ВСЕГО по дошкольному образованию</t>
  </si>
  <si>
    <t>ВСЕГО Общее образование</t>
  </si>
  <si>
    <t>ВСЕГО Организация предоставления дополнительного профессионального образования педагогическим работникам</t>
  </si>
  <si>
    <t>ВСЕГО Другие вопросы в области образования</t>
  </si>
  <si>
    <t>ВСЕГО Образование</t>
  </si>
  <si>
    <t>ВСЕГО Социальная политика</t>
  </si>
  <si>
    <t>Меры социальной поддержки</t>
  </si>
  <si>
    <t>Пенсии,пособия,выплачиваемые организациями сектора гос.управления</t>
  </si>
  <si>
    <t>ВСЕГО Меры социальной поддержки</t>
  </si>
  <si>
    <t>Содержание детей в приемных семьях</t>
  </si>
  <si>
    <t>Ежемес.вознагр.опекунов(попечителей) приемных родителей</t>
  </si>
  <si>
    <t>Содержание детей в  семьях опекунов(попечителей)</t>
  </si>
  <si>
    <t>Субвенции на выплаты единовременного денежного пособия при усыновлении ребенка в семью,оставшегося б/з попечения родителей</t>
  </si>
  <si>
    <t>Субвенции на выплаты единовременного денежного пособия при достижении усыновленным ребенком 3-летнего возраста</t>
  </si>
  <si>
    <t>Компенсация части род.платы</t>
  </si>
  <si>
    <t>Выплата единовременного пособия при всех формах устройства детей в семью,лишенных родительского попечения</t>
  </si>
  <si>
    <t>ВСЕГО Пособия по социальной помощи населению</t>
  </si>
  <si>
    <t>260</t>
  </si>
  <si>
    <t>ВСЕГО Муниципальное учреждение Мокроусовский районный отдел образования</t>
  </si>
  <si>
    <t>корректировка</t>
  </si>
  <si>
    <t>остаток по статье на 2014 год                        (с корректировкой)</t>
  </si>
  <si>
    <t xml:space="preserve">Итого объем </t>
  </si>
  <si>
    <t>1 полуг</t>
  </si>
  <si>
    <t>2 полуг</t>
  </si>
  <si>
    <t>за год</t>
  </si>
  <si>
    <t>теплоснабжение по договорам 2014</t>
  </si>
  <si>
    <t>Технический план здания</t>
  </si>
  <si>
    <t>Межевание границ земельных участков</t>
  </si>
  <si>
    <t>11507020808018244</t>
  </si>
  <si>
    <t>КБК</t>
  </si>
  <si>
    <t>Вывоз ЖБО</t>
  </si>
  <si>
    <t>Проведение мероприятий</t>
  </si>
  <si>
    <t>11507070601243244</t>
  </si>
  <si>
    <t xml:space="preserve">Отдых детей в лагерях дневного пребывания в каникулярное время </t>
  </si>
  <si>
    <t>ДДТ 2014</t>
  </si>
  <si>
    <t>11507050801213244</t>
  </si>
  <si>
    <t>Организация предоставления дополнительного проф.образования педагогическим работникам</t>
  </si>
  <si>
    <t>План Финансово-хозяйственной деятельности МКОУ ДОД Мокроусовская детско-юношеская спортивная школа на 2014 год</t>
  </si>
  <si>
    <t>План Финансово-хозяйственной деятельности МКОУ ДОД  Дом детского творчества на 2014 год</t>
  </si>
  <si>
    <t>План-график 2014</t>
  </si>
</sst>
</file>

<file path=xl/styles.xml><?xml version="1.0" encoding="utf-8"?>
<styleSheet xmlns="http://schemas.openxmlformats.org/spreadsheetml/2006/main">
  <numFmts count="1">
    <numFmt numFmtId="164" formatCode="0.0000"/>
  </numFmts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Calibri Light"/>
      <family val="2"/>
      <charset val="204"/>
    </font>
    <font>
      <sz val="8"/>
      <name val="Calibri"/>
      <family val="2"/>
    </font>
    <font>
      <sz val="10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Cyr"/>
      <family val="2"/>
      <charset val="204"/>
    </font>
    <font>
      <sz val="9"/>
      <name val="Calibri Light"/>
      <charset val="204"/>
    </font>
    <font>
      <sz val="9"/>
      <color indexed="8"/>
      <name val="Calibri Light"/>
      <charset val="204"/>
    </font>
    <font>
      <b/>
      <sz val="10"/>
      <color indexed="10"/>
      <name val="Arial"/>
      <family val="2"/>
      <charset val="204"/>
    </font>
    <font>
      <sz val="9"/>
      <color indexed="10"/>
      <name val="Calibri Light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 Light"/>
      <charset val="204"/>
    </font>
    <font>
      <b/>
      <sz val="10"/>
      <color indexed="10"/>
      <name val="Arial Cyr"/>
      <charset val="204"/>
    </font>
    <font>
      <b/>
      <sz val="9"/>
      <color indexed="10"/>
      <name val="Arial Cyr"/>
      <charset val="204"/>
    </font>
    <font>
      <b/>
      <sz val="9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10"/>
      <name val="Calibri Light"/>
      <family val="2"/>
      <charset val="204"/>
    </font>
    <font>
      <b/>
      <sz val="8"/>
      <name val="Calibri Light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0" borderId="2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textRotation="90" wrapText="1"/>
    </xf>
    <xf numFmtId="2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/>
    <xf numFmtId="0" fontId="12" fillId="0" borderId="2" xfId="0" applyFont="1" applyFill="1" applyBorder="1" applyAlignment="1">
      <alignment horizontal="right" wrapText="1"/>
    </xf>
    <xf numFmtId="2" fontId="11" fillId="0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" fontId="18" fillId="0" borderId="1" xfId="0" applyNumberFormat="1" applyFont="1" applyFill="1" applyBorder="1" applyAlignment="1">
      <alignment vertical="center"/>
    </xf>
    <xf numFmtId="0" fontId="10" fillId="0" borderId="0" xfId="0" applyFont="1" applyFill="1"/>
    <xf numFmtId="0" fontId="7" fillId="2" borderId="0" xfId="0" applyFont="1" applyFill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right"/>
    </xf>
    <xf numFmtId="2" fontId="10" fillId="0" borderId="0" xfId="0" applyNumberFormat="1" applyFont="1" applyFill="1"/>
    <xf numFmtId="9" fontId="10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2" fontId="0" fillId="0" borderId="0" xfId="0" applyNumberFormat="1" applyFill="1"/>
    <xf numFmtId="0" fontId="3" fillId="0" borderId="2" xfId="0" applyFont="1" applyFill="1" applyBorder="1" applyAlignment="1">
      <alignment horizontal="center" vertical="center" textRotation="90" wrapText="1"/>
    </xf>
    <xf numFmtId="49" fontId="0" fillId="0" borderId="0" xfId="0" applyNumberFormat="1" applyFill="1" applyAlignment="1">
      <alignment vertical="center" wrapText="1"/>
    </xf>
    <xf numFmtId="49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textRotation="90" wrapText="1"/>
    </xf>
    <xf numFmtId="2" fontId="0" fillId="0" borderId="4" xfId="0" applyNumberForma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distributed" textRotation="90" wrapText="1"/>
    </xf>
    <xf numFmtId="49" fontId="10" fillId="0" borderId="2" xfId="0" applyNumberFormat="1" applyFont="1" applyFill="1" applyBorder="1" applyAlignment="1">
      <alignment horizontal="center" vertical="center" textRotation="90" wrapText="1"/>
    </xf>
    <xf numFmtId="2" fontId="10" fillId="0" borderId="4" xfId="0" applyNumberFormat="1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2" fontId="7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right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right" wrapText="1"/>
    </xf>
    <xf numFmtId="2" fontId="20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2" fontId="21" fillId="0" borderId="2" xfId="0" applyNumberFormat="1" applyFont="1" applyFill="1" applyBorder="1" applyAlignment="1">
      <alignment horizontal="center"/>
    </xf>
    <xf numFmtId="2" fontId="22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wrapText="1"/>
    </xf>
    <xf numFmtId="0" fontId="26" fillId="0" borderId="2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1" fontId="18" fillId="0" borderId="6" xfId="0" applyNumberFormat="1" applyFont="1" applyFill="1" applyBorder="1" applyAlignment="1">
      <alignment vertical="center"/>
    </xf>
    <xf numFmtId="0" fontId="17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textRotation="90" wrapText="1"/>
    </xf>
    <xf numFmtId="2" fontId="3" fillId="0" borderId="2" xfId="0" applyNumberFormat="1" applyFont="1" applyFill="1" applyBorder="1" applyAlignment="1">
      <alignment horizontal="center" vertical="center" textRotation="90" wrapText="1"/>
    </xf>
    <xf numFmtId="0" fontId="17" fillId="0" borderId="0" xfId="0" applyFont="1" applyFill="1"/>
    <xf numFmtId="0" fontId="17" fillId="3" borderId="0" xfId="0" applyFont="1" applyFill="1"/>
    <xf numFmtId="0" fontId="7" fillId="0" borderId="1" xfId="0" applyFont="1" applyFill="1" applyBorder="1" applyAlignment="1">
      <alignment horizontal="right" vertical="center" wrapText="1"/>
    </xf>
    <xf numFmtId="9" fontId="7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1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wrapText="1"/>
    </xf>
    <xf numFmtId="1" fontId="17" fillId="0" borderId="2" xfId="0" applyNumberFormat="1" applyFont="1" applyFill="1" applyBorder="1" applyAlignment="1">
      <alignment wrapText="1"/>
    </xf>
    <xf numFmtId="1" fontId="17" fillId="3" borderId="2" xfId="0" applyNumberFormat="1" applyFont="1" applyFill="1" applyBorder="1" applyAlignment="1">
      <alignment wrapText="1"/>
    </xf>
    <xf numFmtId="2" fontId="1" fillId="4" borderId="2" xfId="0" applyNumberFormat="1" applyFont="1" applyFill="1" applyBorder="1" applyAlignment="1">
      <alignment wrapText="1"/>
    </xf>
    <xf numFmtId="2" fontId="17" fillId="4" borderId="2" xfId="0" applyNumberFormat="1" applyFont="1" applyFill="1" applyBorder="1" applyAlignment="1">
      <alignment wrapText="1"/>
    </xf>
    <xf numFmtId="0" fontId="27" fillId="0" borderId="5" xfId="0" applyFont="1" applyFill="1" applyBorder="1" applyAlignment="1">
      <alignment wrapText="1"/>
    </xf>
    <xf numFmtId="49" fontId="0" fillId="0" borderId="1" xfId="0" applyNumberFormat="1" applyBorder="1"/>
    <xf numFmtId="49" fontId="0" fillId="0" borderId="0" xfId="0" applyNumberFormat="1"/>
    <xf numFmtId="0" fontId="17" fillId="0" borderId="9" xfId="0" applyFont="1" applyFill="1" applyBorder="1"/>
    <xf numFmtId="1" fontId="18" fillId="0" borderId="10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wrapText="1"/>
    </xf>
    <xf numFmtId="49" fontId="0" fillId="0" borderId="2" xfId="0" applyNumberFormat="1" applyBorder="1"/>
    <xf numFmtId="0" fontId="3" fillId="0" borderId="2" xfId="0" applyFont="1" applyFill="1" applyBorder="1" applyAlignment="1">
      <alignment wrapText="1"/>
    </xf>
    <xf numFmtId="0" fontId="0" fillId="0" borderId="2" xfId="0" applyBorder="1"/>
    <xf numFmtId="0" fontId="7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9" fontId="7" fillId="0" borderId="2" xfId="0" applyNumberFormat="1" applyFont="1" applyFill="1" applyBorder="1"/>
    <xf numFmtId="1" fontId="3" fillId="0" borderId="2" xfId="0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17" fillId="0" borderId="5" xfId="0" applyFont="1" applyFill="1" applyBorder="1" applyAlignment="1">
      <alignment wrapText="1"/>
    </xf>
    <xf numFmtId="2" fontId="1" fillId="4" borderId="5" xfId="0" applyNumberFormat="1" applyFont="1" applyFill="1" applyBorder="1" applyAlignment="1">
      <alignment wrapText="1"/>
    </xf>
    <xf numFmtId="0" fontId="17" fillId="0" borderId="2" xfId="0" applyFont="1" applyFill="1" applyBorder="1"/>
    <xf numFmtId="1" fontId="18" fillId="0" borderId="2" xfId="0" applyNumberFormat="1" applyFont="1" applyFill="1" applyBorder="1" applyAlignment="1">
      <alignment vertical="center"/>
    </xf>
    <xf numFmtId="2" fontId="28" fillId="4" borderId="2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8" fillId="0" borderId="2" xfId="0" applyFont="1" applyFill="1" applyBorder="1" applyAlignment="1"/>
    <xf numFmtId="0" fontId="28" fillId="0" borderId="2" xfId="0" applyFont="1" applyFill="1" applyBorder="1" applyAlignment="1">
      <alignment horizontal="center" vertical="center"/>
    </xf>
    <xf numFmtId="49" fontId="28" fillId="0" borderId="2" xfId="0" applyNumberFormat="1" applyFont="1" applyFill="1" applyBorder="1"/>
    <xf numFmtId="0" fontId="28" fillId="0" borderId="2" xfId="0" applyFont="1" applyFill="1" applyBorder="1"/>
    <xf numFmtId="0" fontId="28" fillId="0" borderId="2" xfId="0" applyFont="1" applyBorder="1" applyAlignment="1">
      <alignment wrapText="1"/>
    </xf>
    <xf numFmtId="0" fontId="28" fillId="0" borderId="4" xfId="0" applyFont="1" applyFill="1" applyBorder="1"/>
    <xf numFmtId="0" fontId="28" fillId="0" borderId="0" xfId="0" applyFont="1" applyFill="1"/>
    <xf numFmtId="2" fontId="18" fillId="4" borderId="2" xfId="0" applyNumberFormat="1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164" fontId="3" fillId="0" borderId="14" xfId="0" applyNumberFormat="1" applyFont="1" applyFill="1" applyBorder="1" applyAlignment="1">
      <alignment wrapText="1"/>
    </xf>
    <xf numFmtId="0" fontId="7" fillId="0" borderId="14" xfId="0" applyFont="1" applyFill="1" applyBorder="1" applyAlignment="1">
      <alignment horizontal="right" vertical="center" wrapText="1"/>
    </xf>
    <xf numFmtId="9" fontId="7" fillId="0" borderId="14" xfId="0" applyNumberFormat="1" applyFont="1" applyFill="1" applyBorder="1"/>
    <xf numFmtId="0" fontId="3" fillId="0" borderId="1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2" fontId="3" fillId="0" borderId="1" xfId="0" applyNumberFormat="1" applyFont="1" applyFill="1" applyBorder="1" applyAlignment="1">
      <alignment horizontal="center" vertical="center" textRotation="90" wrapText="1"/>
    </xf>
    <xf numFmtId="0" fontId="29" fillId="0" borderId="2" xfId="0" applyFont="1" applyFill="1" applyBorder="1" applyAlignment="1"/>
    <xf numFmtId="0" fontId="29" fillId="0" borderId="2" xfId="0" applyFont="1" applyFill="1" applyBorder="1" applyAlignment="1">
      <alignment horizontal="center" vertical="center"/>
    </xf>
    <xf numFmtId="49" fontId="29" fillId="0" borderId="2" xfId="0" applyNumberFormat="1" applyFont="1" applyFill="1" applyBorder="1"/>
    <xf numFmtId="0" fontId="29" fillId="0" borderId="0" xfId="0" applyFont="1" applyFill="1"/>
    <xf numFmtId="0" fontId="30" fillId="0" borderId="0" xfId="0" applyFont="1" applyAlignment="1">
      <alignment wrapText="1"/>
    </xf>
    <xf numFmtId="0" fontId="30" fillId="0" borderId="1" xfId="0" applyFont="1" applyFill="1" applyBorder="1" applyAlignment="1">
      <alignment wrapText="1"/>
    </xf>
    <xf numFmtId="1" fontId="29" fillId="0" borderId="6" xfId="0" applyNumberFormat="1" applyFont="1" applyFill="1" applyBorder="1" applyAlignment="1">
      <alignment vertical="center"/>
    </xf>
    <xf numFmtId="1" fontId="29" fillId="0" borderId="1" xfId="0" applyNumberFormat="1" applyFont="1" applyFill="1" applyBorder="1" applyAlignment="1">
      <alignment vertical="center"/>
    </xf>
    <xf numFmtId="2" fontId="29" fillId="4" borderId="2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49" fontId="29" fillId="0" borderId="1" xfId="0" applyNumberFormat="1" applyFont="1" applyBorder="1"/>
    <xf numFmtId="49" fontId="0" fillId="0" borderId="1" xfId="0" applyNumberFormat="1" applyBorder="1" applyAlignment="1"/>
    <xf numFmtId="0" fontId="3" fillId="0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3" fillId="0" borderId="16" xfId="0" applyFont="1" applyFill="1" applyBorder="1" applyAlignment="1">
      <alignment horizontal="center" vertical="center" textRotation="90" wrapText="1"/>
    </xf>
    <xf numFmtId="0" fontId="17" fillId="0" borderId="8" xfId="0" applyFont="1" applyFill="1" applyBorder="1" applyAlignment="1">
      <alignment horizontal="center" vertical="center" textRotation="90" wrapText="1"/>
    </xf>
    <xf numFmtId="0" fontId="17" fillId="0" borderId="8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0" xfId="0" applyFont="1" applyFill="1" applyBorder="1" applyAlignment="1">
      <alignment wrapText="1"/>
    </xf>
    <xf numFmtId="0" fontId="0" fillId="0" borderId="15" xfId="0" applyBorder="1" applyAlignment="1"/>
    <xf numFmtId="0" fontId="0" fillId="0" borderId="5" xfId="0" applyBorder="1" applyAlignment="1"/>
    <xf numFmtId="0" fontId="3" fillId="0" borderId="18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wrapText="1"/>
    </xf>
    <xf numFmtId="2" fontId="7" fillId="0" borderId="3" xfId="0" applyNumberFormat="1" applyFont="1" applyFill="1" applyBorder="1" applyAlignment="1">
      <alignment horizontal="center" vertical="center" textRotation="90" wrapText="1"/>
    </xf>
    <xf numFmtId="2" fontId="0" fillId="0" borderId="4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selection activeCell="C6" sqref="C6"/>
    </sheetView>
  </sheetViews>
  <sheetFormatPr defaultRowHeight="15"/>
  <cols>
    <col min="1" max="1" width="15.5703125" style="116" customWidth="1"/>
    <col min="2" max="2" width="4" style="97" customWidth="1"/>
    <col min="3" max="3" width="47.42578125" style="97" customWidth="1"/>
    <col min="4" max="4" width="10" style="97" customWidth="1"/>
  </cols>
  <sheetData>
    <row r="1" spans="1:5">
      <c r="C1" s="97" t="s">
        <v>190</v>
      </c>
    </row>
    <row r="2" spans="1:5" ht="15" customHeight="1">
      <c r="A2" s="163" t="s">
        <v>180</v>
      </c>
      <c r="B2" s="171" t="s">
        <v>4</v>
      </c>
      <c r="C2" s="164" t="s">
        <v>0</v>
      </c>
      <c r="D2" s="164" t="s">
        <v>15</v>
      </c>
    </row>
    <row r="3" spans="1:5" ht="47.25" customHeight="1">
      <c r="A3" s="163"/>
      <c r="B3" s="172"/>
      <c r="C3" s="173"/>
      <c r="D3" s="165"/>
    </row>
    <row r="4" spans="1:5">
      <c r="A4" s="162" t="s">
        <v>179</v>
      </c>
      <c r="B4" s="1">
        <v>223</v>
      </c>
      <c r="C4" s="5" t="s">
        <v>9</v>
      </c>
      <c r="D4" s="3">
        <v>108096.31</v>
      </c>
    </row>
    <row r="5" spans="1:5">
      <c r="A5" s="162" t="s">
        <v>179</v>
      </c>
      <c r="B5" s="1">
        <v>226</v>
      </c>
      <c r="C5" s="114" t="s">
        <v>177</v>
      </c>
      <c r="D5" s="3">
        <v>10500</v>
      </c>
    </row>
    <row r="6" spans="1:5" ht="33.75" customHeight="1">
      <c r="A6" s="154" t="s">
        <v>186</v>
      </c>
      <c r="B6" s="1">
        <v>226</v>
      </c>
      <c r="C6" s="161" t="s">
        <v>187</v>
      </c>
      <c r="D6" s="3">
        <v>2800</v>
      </c>
    </row>
    <row r="7" spans="1:5">
      <c r="A7" s="115"/>
      <c r="B7" s="1"/>
      <c r="C7" s="99" t="s">
        <v>172</v>
      </c>
      <c r="D7" s="3">
        <f>D5+D4+D6</f>
        <v>121396.31</v>
      </c>
    </row>
    <row r="8" spans="1:5">
      <c r="A8" s="115"/>
      <c r="B8" s="101"/>
      <c r="C8" s="100">
        <v>0.5</v>
      </c>
      <c r="D8" s="102">
        <f>D7/2</f>
        <v>60698.154999999999</v>
      </c>
    </row>
    <row r="9" spans="1:5">
      <c r="B9" s="93" t="s">
        <v>133</v>
      </c>
      <c r="C9" s="105"/>
      <c r="D9" s="117" t="s">
        <v>15</v>
      </c>
    </row>
    <row r="10" spans="1:5">
      <c r="B10" s="31"/>
      <c r="C10" s="101" t="s">
        <v>131</v>
      </c>
      <c r="D10" s="6">
        <v>25000</v>
      </c>
    </row>
    <row r="11" spans="1:5">
      <c r="B11" s="31"/>
      <c r="C11" s="101" t="s">
        <v>134</v>
      </c>
      <c r="D11" s="6">
        <v>12000</v>
      </c>
    </row>
    <row r="12" spans="1:5">
      <c r="B12" s="31"/>
      <c r="C12" s="114" t="s">
        <v>178</v>
      </c>
      <c r="D12" s="6">
        <v>10500</v>
      </c>
    </row>
    <row r="13" spans="1:5">
      <c r="B13" s="101"/>
      <c r="C13" s="101" t="s">
        <v>129</v>
      </c>
      <c r="D13" s="102">
        <f>D11+D10+D12</f>
        <v>47500</v>
      </c>
    </row>
    <row r="14" spans="1:5">
      <c r="E14" s="97"/>
    </row>
    <row r="15" spans="1:5">
      <c r="E15" s="97"/>
    </row>
    <row r="46" spans="1:4">
      <c r="A46" s="120"/>
      <c r="B46" s="166" t="s">
        <v>4</v>
      </c>
      <c r="C46" s="168" t="s">
        <v>0</v>
      </c>
      <c r="D46" s="168" t="s">
        <v>14</v>
      </c>
    </row>
    <row r="47" spans="1:4" ht="68.25" customHeight="1">
      <c r="A47" s="120"/>
      <c r="B47" s="167"/>
      <c r="C47" s="169"/>
      <c r="D47" s="170"/>
    </row>
    <row r="48" spans="1:4">
      <c r="A48" s="115"/>
      <c r="B48" s="121">
        <v>223</v>
      </c>
      <c r="C48" s="121" t="s">
        <v>8</v>
      </c>
      <c r="D48" s="122"/>
    </row>
    <row r="49" spans="1:10">
      <c r="A49" s="115" t="s">
        <v>179</v>
      </c>
      <c r="B49" s="121"/>
      <c r="C49" s="5" t="s">
        <v>9</v>
      </c>
      <c r="D49" s="122">
        <v>142357.43</v>
      </c>
    </row>
    <row r="50" spans="1:10">
      <c r="A50" s="115" t="s">
        <v>179</v>
      </c>
      <c r="B50" s="121"/>
      <c r="C50" s="5" t="s">
        <v>10</v>
      </c>
      <c r="D50" s="122">
        <v>18311.12</v>
      </c>
    </row>
    <row r="51" spans="1:10">
      <c r="A51" s="115" t="s">
        <v>179</v>
      </c>
      <c r="B51" s="121"/>
      <c r="C51" s="5" t="s">
        <v>181</v>
      </c>
      <c r="D51" s="122">
        <v>1000</v>
      </c>
    </row>
    <row r="52" spans="1:10">
      <c r="A52" s="115" t="s">
        <v>179</v>
      </c>
      <c r="B52" s="121">
        <v>340</v>
      </c>
      <c r="C52" s="121" t="s">
        <v>182</v>
      </c>
      <c r="D52" s="122">
        <v>22150</v>
      </c>
    </row>
    <row r="53" spans="1:10">
      <c r="A53" s="120"/>
      <c r="B53" s="121"/>
      <c r="C53" s="123" t="s">
        <v>172</v>
      </c>
      <c r="D53" s="126">
        <f>D52+D51+D50+D49</f>
        <v>183818.55</v>
      </c>
    </row>
    <row r="54" spans="1:10">
      <c r="A54" s="120"/>
      <c r="B54" s="124"/>
      <c r="C54" s="125">
        <v>0.5</v>
      </c>
      <c r="D54" s="127">
        <f>D53/2</f>
        <v>91909.274999999994</v>
      </c>
    </row>
    <row r="55" spans="1:10">
      <c r="B55" s="118" t="s">
        <v>133</v>
      </c>
      <c r="C55" s="119"/>
      <c r="E55" s="97" t="s">
        <v>14</v>
      </c>
      <c r="F55" s="97"/>
      <c r="G55" s="97"/>
      <c r="H55" s="97"/>
      <c r="I55" s="97"/>
      <c r="J55" s="97"/>
    </row>
    <row r="56" spans="1:10">
      <c r="B56" s="31"/>
      <c r="C56" s="106" t="s">
        <v>130</v>
      </c>
      <c r="D56" s="101"/>
      <c r="E56" s="6">
        <v>1500</v>
      </c>
      <c r="F56" s="97"/>
      <c r="G56" s="97"/>
      <c r="H56" s="97"/>
      <c r="I56" s="97"/>
      <c r="J56" s="97"/>
    </row>
    <row r="57" spans="1:10">
      <c r="B57" s="31"/>
      <c r="C57" s="101" t="s">
        <v>131</v>
      </c>
      <c r="D57" s="101"/>
      <c r="E57" s="6">
        <v>10000</v>
      </c>
      <c r="F57" s="97"/>
      <c r="G57" s="97"/>
      <c r="H57" s="97"/>
      <c r="I57" s="97"/>
      <c r="J57" s="97"/>
    </row>
    <row r="58" spans="1:10">
      <c r="B58" s="31"/>
      <c r="C58" s="101" t="s">
        <v>132</v>
      </c>
      <c r="D58" s="101"/>
      <c r="E58" s="6">
        <v>4950</v>
      </c>
      <c r="F58" s="97"/>
      <c r="G58" s="97"/>
      <c r="H58" s="97"/>
      <c r="I58" s="97"/>
      <c r="J58" s="97"/>
    </row>
    <row r="59" spans="1:10">
      <c r="B59" s="101"/>
      <c r="C59" s="101" t="s">
        <v>129</v>
      </c>
      <c r="D59" s="101"/>
      <c r="E59" s="102">
        <f>E58++E57+E56</f>
        <v>16450</v>
      </c>
      <c r="F59" s="97"/>
      <c r="G59" s="97"/>
      <c r="H59" s="97"/>
      <c r="I59" s="97"/>
      <c r="J59" s="97"/>
    </row>
  </sheetData>
  <mergeCells count="7">
    <mergeCell ref="A2:A3"/>
    <mergeCell ref="D2:D3"/>
    <mergeCell ref="B46:B47"/>
    <mergeCell ref="C46:C47"/>
    <mergeCell ref="D46:D47"/>
    <mergeCell ref="B2:B3"/>
    <mergeCell ref="C2:C3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8"/>
  <sheetViews>
    <sheetView topLeftCell="A4" zoomScaleNormal="100" workbookViewId="0">
      <selection activeCell="C18" sqref="C18"/>
    </sheetView>
  </sheetViews>
  <sheetFormatPr defaultRowHeight="15"/>
  <cols>
    <col min="1" max="1" width="15.42578125" style="155" customWidth="1"/>
    <col min="2" max="2" width="4" style="155" customWidth="1"/>
    <col min="3" max="3" width="27.42578125" style="97" customWidth="1"/>
    <col min="4" max="4" width="10" style="97" customWidth="1"/>
    <col min="5" max="5" width="9.28515625" style="97" customWidth="1"/>
    <col min="6" max="6" width="9" style="97" customWidth="1"/>
    <col min="7" max="7" width="8.42578125" style="97" customWidth="1"/>
    <col min="8" max="8" width="10.28515625" style="97" customWidth="1"/>
    <col min="9" max="9" width="8.85546875" style="97" customWidth="1"/>
    <col min="10" max="10" width="10" style="97" customWidth="1"/>
    <col min="11" max="11" width="11.28515625" style="97" customWidth="1"/>
    <col min="12" max="12" width="9.5703125" style="97" customWidth="1"/>
    <col min="13" max="13" width="10.140625" style="97" customWidth="1"/>
    <col min="14" max="14" width="9.5703125" style="97" customWidth="1"/>
    <col min="15" max="15" width="10.42578125" style="97" customWidth="1"/>
    <col min="16" max="16" width="9.140625" style="97"/>
    <col min="17" max="17" width="10.42578125" style="97" customWidth="1"/>
    <col min="18" max="16384" width="9.140625" style="97"/>
  </cols>
  <sheetData>
    <row r="1" spans="1:10">
      <c r="A1" s="178" t="s">
        <v>188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s="94" customFormat="1" ht="16.5" customHeight="1">
      <c r="A2" s="152"/>
      <c r="B2" s="171" t="s">
        <v>4</v>
      </c>
      <c r="C2" s="164" t="s">
        <v>0</v>
      </c>
      <c r="D2" s="175" t="s">
        <v>15</v>
      </c>
      <c r="E2" s="176"/>
      <c r="F2" s="176"/>
      <c r="G2" s="176"/>
      <c r="H2" s="176"/>
      <c r="I2" s="176"/>
      <c r="J2" s="177"/>
    </row>
    <row r="3" spans="1:10" ht="105">
      <c r="A3" s="153" t="s">
        <v>180</v>
      </c>
      <c r="B3" s="174"/>
      <c r="C3" s="173"/>
      <c r="D3" s="95" t="s">
        <v>1</v>
      </c>
      <c r="E3" s="95" t="s">
        <v>2</v>
      </c>
      <c r="F3" s="41" t="s">
        <v>140</v>
      </c>
      <c r="G3" s="41" t="s">
        <v>141</v>
      </c>
      <c r="H3" s="41" t="s">
        <v>142</v>
      </c>
      <c r="I3" s="46" t="s">
        <v>170</v>
      </c>
      <c r="J3" s="96" t="s">
        <v>171</v>
      </c>
    </row>
    <row r="4" spans="1:10" s="98" customFormat="1">
      <c r="A4" s="154" t="s">
        <v>179</v>
      </c>
      <c r="B4" s="1">
        <v>221</v>
      </c>
      <c r="C4" s="1" t="s">
        <v>3</v>
      </c>
      <c r="D4" s="3">
        <v>3600</v>
      </c>
      <c r="E4" s="3"/>
      <c r="F4" s="3"/>
      <c r="G4" s="3">
        <v>3400</v>
      </c>
      <c r="H4" s="3">
        <f>E4-F4-G4</f>
        <v>-3400</v>
      </c>
      <c r="I4" s="3">
        <f>2000+1400</f>
        <v>3400</v>
      </c>
      <c r="J4" s="3">
        <f>H4+I4</f>
        <v>0</v>
      </c>
    </row>
    <row r="5" spans="1:10" s="98" customFormat="1" ht="25.5" customHeight="1">
      <c r="A5" s="154" t="s">
        <v>179</v>
      </c>
      <c r="B5" s="1">
        <v>223</v>
      </c>
      <c r="C5" s="1" t="s">
        <v>8</v>
      </c>
      <c r="D5" s="3">
        <f>D6+D7+D8+D9</f>
        <v>262750.83999999997</v>
      </c>
      <c r="E5" s="3">
        <f>E6+E7+E8+E9</f>
        <v>216100</v>
      </c>
      <c r="F5" s="3">
        <f>F6+F7+F8+F9</f>
        <v>36001.230000000003</v>
      </c>
      <c r="G5" s="3">
        <f>G6+G7+G8+G9</f>
        <v>72002.460000000006</v>
      </c>
      <c r="H5" s="3">
        <f>H6+H7+H8+H9</f>
        <v>108096.30999999998</v>
      </c>
      <c r="I5" s="3"/>
      <c r="J5" s="3">
        <f>J6+J7+J8+J9</f>
        <v>108096.30999999998</v>
      </c>
    </row>
    <row r="6" spans="1:10" ht="18" customHeight="1">
      <c r="A6" s="154" t="s">
        <v>179</v>
      </c>
      <c r="B6" s="1"/>
      <c r="C6" s="5" t="s">
        <v>9</v>
      </c>
      <c r="D6" s="3">
        <v>256700.84</v>
      </c>
      <c r="E6" s="3">
        <v>216100</v>
      </c>
      <c r="F6" s="3">
        <v>36001.230000000003</v>
      </c>
      <c r="G6" s="3">
        <f>F6*2</f>
        <v>72002.460000000006</v>
      </c>
      <c r="H6" s="3">
        <f>E6-F6-G6</f>
        <v>108096.30999999998</v>
      </c>
      <c r="I6" s="3"/>
      <c r="J6" s="3">
        <f>H6+I6</f>
        <v>108096.30999999998</v>
      </c>
    </row>
    <row r="7" spans="1:10" ht="18.75" customHeight="1">
      <c r="A7" s="154" t="s">
        <v>179</v>
      </c>
      <c r="B7" s="1"/>
      <c r="C7" s="5" t="s">
        <v>10</v>
      </c>
      <c r="D7" s="3">
        <v>6050</v>
      </c>
      <c r="E7" s="3"/>
      <c r="F7" s="3"/>
      <c r="G7" s="3"/>
      <c r="H7" s="3">
        <f t="shared" ref="H7:H18" si="0">E7-F7-G7</f>
        <v>0</v>
      </c>
      <c r="I7" s="3"/>
      <c r="J7" s="3">
        <f t="shared" ref="J7:J18" si="1">H7+I7</f>
        <v>0</v>
      </c>
    </row>
    <row r="8" spans="1:10" ht="14.25" customHeight="1">
      <c r="A8" s="154" t="s">
        <v>179</v>
      </c>
      <c r="B8" s="1"/>
      <c r="C8" s="5" t="s">
        <v>11</v>
      </c>
      <c r="D8" s="3"/>
      <c r="E8" s="3"/>
      <c r="F8" s="3"/>
      <c r="G8" s="3"/>
      <c r="H8" s="3">
        <f t="shared" si="0"/>
        <v>0</v>
      </c>
      <c r="I8" s="3"/>
      <c r="J8" s="3">
        <f t="shared" si="1"/>
        <v>0</v>
      </c>
    </row>
    <row r="9" spans="1:10">
      <c r="A9" s="154" t="s">
        <v>179</v>
      </c>
      <c r="B9" s="1"/>
      <c r="C9" s="5" t="s">
        <v>12</v>
      </c>
      <c r="D9" s="3"/>
      <c r="E9" s="3"/>
      <c r="F9" s="3"/>
      <c r="G9" s="3"/>
      <c r="H9" s="3">
        <f t="shared" si="0"/>
        <v>0</v>
      </c>
      <c r="I9" s="3"/>
      <c r="J9" s="3">
        <f t="shared" si="1"/>
        <v>0</v>
      </c>
    </row>
    <row r="10" spans="1:10" ht="30" customHeight="1">
      <c r="A10" s="154" t="s">
        <v>179</v>
      </c>
      <c r="B10" s="1">
        <v>225</v>
      </c>
      <c r="C10" s="2" t="s">
        <v>143</v>
      </c>
      <c r="D10" s="3">
        <f>3684</f>
        <v>3684</v>
      </c>
      <c r="E10" s="3"/>
      <c r="F10" s="3">
        <f>25000+12000</f>
        <v>37000</v>
      </c>
      <c r="G10" s="3"/>
      <c r="H10" s="3">
        <f t="shared" si="0"/>
        <v>-37000</v>
      </c>
      <c r="I10" s="3">
        <v>12000</v>
      </c>
      <c r="J10" s="3">
        <f t="shared" si="1"/>
        <v>-25000</v>
      </c>
    </row>
    <row r="11" spans="1:10" ht="18" customHeight="1">
      <c r="A11" s="154" t="s">
        <v>179</v>
      </c>
      <c r="B11" s="1">
        <v>226</v>
      </c>
      <c r="C11" s="114" t="s">
        <v>177</v>
      </c>
      <c r="D11" s="3">
        <v>10500</v>
      </c>
      <c r="E11" s="3"/>
      <c r="F11" s="3"/>
      <c r="G11" s="3"/>
      <c r="H11" s="3"/>
      <c r="I11" s="3"/>
      <c r="J11" s="3"/>
    </row>
    <row r="12" spans="1:10" ht="18" customHeight="1">
      <c r="A12" s="154" t="s">
        <v>179</v>
      </c>
      <c r="B12" s="1">
        <v>226</v>
      </c>
      <c r="C12" s="1" t="s">
        <v>5</v>
      </c>
      <c r="D12" s="3">
        <v>4000</v>
      </c>
      <c r="E12" s="3"/>
      <c r="F12" s="3"/>
      <c r="G12" s="3"/>
      <c r="H12" s="3">
        <f t="shared" si="0"/>
        <v>0</v>
      </c>
      <c r="I12" s="3"/>
      <c r="J12" s="3">
        <f t="shared" si="1"/>
        <v>0</v>
      </c>
    </row>
    <row r="13" spans="1:10" ht="16.5" customHeight="1">
      <c r="A13" s="154" t="s">
        <v>179</v>
      </c>
      <c r="B13" s="1">
        <v>226</v>
      </c>
      <c r="C13" s="2" t="s">
        <v>13</v>
      </c>
      <c r="D13" s="3">
        <v>115000</v>
      </c>
      <c r="E13" s="3"/>
      <c r="F13" s="3"/>
      <c r="G13" s="3"/>
      <c r="H13" s="3">
        <f t="shared" si="0"/>
        <v>0</v>
      </c>
      <c r="I13" s="3"/>
      <c r="J13" s="3">
        <f t="shared" si="1"/>
        <v>0</v>
      </c>
    </row>
    <row r="14" spans="1:10" s="98" customFormat="1" ht="16.5" customHeight="1">
      <c r="A14" s="154" t="s">
        <v>179</v>
      </c>
      <c r="B14" s="1">
        <v>290</v>
      </c>
      <c r="C14" s="1"/>
      <c r="D14" s="3"/>
      <c r="E14" s="3"/>
      <c r="F14" s="3"/>
      <c r="G14" s="3"/>
      <c r="H14" s="3">
        <f t="shared" si="0"/>
        <v>0</v>
      </c>
      <c r="I14" s="3"/>
      <c r="J14" s="3">
        <f t="shared" si="1"/>
        <v>0</v>
      </c>
    </row>
    <row r="15" spans="1:10" s="98" customFormat="1" ht="16.5" customHeight="1">
      <c r="A15" s="154" t="s">
        <v>179</v>
      </c>
      <c r="B15" s="1">
        <v>290</v>
      </c>
      <c r="C15" s="1"/>
      <c r="D15" s="3"/>
      <c r="E15" s="3"/>
      <c r="F15" s="3"/>
      <c r="G15" s="3"/>
      <c r="H15" s="3">
        <f t="shared" si="0"/>
        <v>0</v>
      </c>
      <c r="I15" s="3"/>
      <c r="J15" s="3">
        <f t="shared" si="1"/>
        <v>0</v>
      </c>
    </row>
    <row r="16" spans="1:10" ht="30" customHeight="1">
      <c r="A16" s="154" t="s">
        <v>179</v>
      </c>
      <c r="B16" s="1">
        <v>310</v>
      </c>
      <c r="C16" s="1" t="s">
        <v>6</v>
      </c>
      <c r="D16" s="3">
        <f>33600</f>
        <v>33600</v>
      </c>
      <c r="E16" s="3"/>
      <c r="F16" s="3"/>
      <c r="G16" s="3"/>
      <c r="H16" s="3">
        <f t="shared" si="0"/>
        <v>0</v>
      </c>
      <c r="I16" s="3"/>
      <c r="J16" s="3">
        <f t="shared" si="1"/>
        <v>0</v>
      </c>
    </row>
    <row r="17" spans="1:28" s="98" customFormat="1" ht="34.5" customHeight="1">
      <c r="A17" s="154" t="s">
        <v>179</v>
      </c>
      <c r="B17" s="1">
        <v>340</v>
      </c>
      <c r="C17" s="1" t="s">
        <v>7</v>
      </c>
      <c r="D17" s="3">
        <v>4334</v>
      </c>
      <c r="E17" s="3">
        <v>14000</v>
      </c>
      <c r="F17" s="3"/>
      <c r="G17" s="3"/>
      <c r="H17" s="3">
        <f t="shared" si="0"/>
        <v>14000</v>
      </c>
      <c r="I17" s="3">
        <f>-12000-2000</f>
        <v>-14000</v>
      </c>
      <c r="J17" s="3">
        <f t="shared" si="1"/>
        <v>0</v>
      </c>
    </row>
    <row r="18" spans="1:28" s="98" customFormat="1" ht="55.5" customHeight="1">
      <c r="A18" s="154" t="s">
        <v>186</v>
      </c>
      <c r="B18" s="1">
        <v>226</v>
      </c>
      <c r="C18" s="1" t="s">
        <v>187</v>
      </c>
      <c r="D18" s="3">
        <v>2800</v>
      </c>
      <c r="E18" s="3">
        <v>2800</v>
      </c>
      <c r="F18" s="3"/>
      <c r="G18" s="3"/>
      <c r="H18" s="3">
        <f t="shared" si="0"/>
        <v>2800</v>
      </c>
      <c r="I18" s="3"/>
      <c r="J18" s="3">
        <f t="shared" si="1"/>
        <v>2800</v>
      </c>
    </row>
    <row r="19" spans="1:28">
      <c r="B19" s="1"/>
      <c r="C19" s="99" t="s">
        <v>172</v>
      </c>
      <c r="D19" s="3">
        <f>D4+D5+D10+D12+D13+D16+D17+D18</f>
        <v>429768.83999999997</v>
      </c>
      <c r="E19" s="3">
        <f t="shared" ref="E19:J19" si="2">E4+E5+E10+E12+E13+E16+E17+E18</f>
        <v>232900</v>
      </c>
      <c r="F19" s="3">
        <f t="shared" si="2"/>
        <v>73001.23000000001</v>
      </c>
      <c r="G19" s="3">
        <f t="shared" si="2"/>
        <v>75402.460000000006</v>
      </c>
      <c r="H19" s="3">
        <f t="shared" si="2"/>
        <v>84496.309999999983</v>
      </c>
      <c r="I19" s="3">
        <f t="shared" si="2"/>
        <v>1400</v>
      </c>
      <c r="J19" s="3">
        <f t="shared" si="2"/>
        <v>85896.309999999983</v>
      </c>
    </row>
    <row r="20" spans="1:28" s="104" customFormat="1">
      <c r="A20" s="156"/>
      <c r="B20" s="157"/>
      <c r="C20" s="100">
        <v>0.5</v>
      </c>
      <c r="D20" s="102"/>
      <c r="E20" s="102"/>
      <c r="F20" s="102"/>
      <c r="G20" s="102"/>
      <c r="H20" s="102"/>
      <c r="I20" s="102"/>
      <c r="J20" s="102">
        <f>J19*50%</f>
        <v>42948.154999999992</v>
      </c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</row>
    <row r="21" spans="1:28">
      <c r="B21" s="158" t="s">
        <v>133</v>
      </c>
      <c r="C21" s="105"/>
      <c r="D21" s="97" t="s">
        <v>15</v>
      </c>
    </row>
    <row r="22" spans="1:28" ht="30">
      <c r="B22" s="159"/>
      <c r="C22" s="106" t="s">
        <v>130</v>
      </c>
      <c r="D22" s="6"/>
    </row>
    <row r="23" spans="1:28" ht="30">
      <c r="B23" s="159"/>
      <c r="C23" s="101" t="s">
        <v>131</v>
      </c>
      <c r="D23" s="6">
        <v>25000</v>
      </c>
    </row>
    <row r="24" spans="1:28" ht="30">
      <c r="B24" s="159"/>
      <c r="C24" s="101" t="s">
        <v>134</v>
      </c>
      <c r="D24" s="6">
        <v>12000</v>
      </c>
    </row>
    <row r="25" spans="1:28" ht="30">
      <c r="B25" s="159"/>
      <c r="C25" s="101" t="s">
        <v>132</v>
      </c>
      <c r="D25" s="6"/>
    </row>
    <row r="26" spans="1:28">
      <c r="B26" s="157"/>
      <c r="C26" s="101" t="s">
        <v>129</v>
      </c>
      <c r="D26" s="102">
        <f>D25+D24+D23+D22</f>
        <v>37000</v>
      </c>
    </row>
    <row r="27" spans="1:28">
      <c r="C27" s="109" t="s">
        <v>15</v>
      </c>
      <c r="D27" s="110"/>
      <c r="F27" s="110" t="s">
        <v>173</v>
      </c>
      <c r="G27" s="110" t="s">
        <v>174</v>
      </c>
      <c r="H27" s="111" t="s">
        <v>175</v>
      </c>
    </row>
    <row r="28" spans="1:28" ht="30">
      <c r="C28" s="112" t="s">
        <v>176</v>
      </c>
      <c r="D28" s="113"/>
      <c r="E28" s="113"/>
      <c r="F28" s="160">
        <f>36001.23*4</f>
        <v>144004.92000000001</v>
      </c>
      <c r="G28" s="143">
        <f>37565.38*3</f>
        <v>112696.13999999998</v>
      </c>
      <c r="H28" s="160">
        <f>F28+G28</f>
        <v>256701.06</v>
      </c>
    </row>
  </sheetData>
  <mergeCells count="4">
    <mergeCell ref="B2:B3"/>
    <mergeCell ref="C2:C3"/>
    <mergeCell ref="D2:J2"/>
    <mergeCell ref="A1:J1"/>
  </mergeCells>
  <phoneticPr fontId="6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89" orientation="portrait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B28"/>
  <sheetViews>
    <sheetView tabSelected="1" zoomScaleNormal="100" workbookViewId="0">
      <selection activeCell="H15" sqref="H15"/>
    </sheetView>
  </sheetViews>
  <sheetFormatPr defaultRowHeight="15"/>
  <cols>
    <col min="1" max="1" width="17.5703125" style="142" customWidth="1"/>
    <col min="2" max="2" width="4" style="97" customWidth="1"/>
    <col min="3" max="3" width="27.42578125" style="97" customWidth="1"/>
    <col min="4" max="4" width="10" style="97" customWidth="1"/>
    <col min="5" max="5" width="9.28515625" style="97" customWidth="1"/>
    <col min="6" max="6" width="8.42578125" style="97" customWidth="1"/>
    <col min="7" max="7" width="9.5703125" style="97" customWidth="1"/>
    <col min="8" max="8" width="10.28515625" style="97" customWidth="1"/>
    <col min="9" max="9" width="8.85546875" style="97" customWidth="1"/>
    <col min="10" max="10" width="10" style="97" customWidth="1"/>
    <col min="11" max="16384" width="9.140625" style="97"/>
  </cols>
  <sheetData>
    <row r="1" spans="1:10">
      <c r="A1" s="178" t="s">
        <v>189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s="94" customFormat="1" ht="16.5" customHeight="1">
      <c r="A2" s="136"/>
      <c r="B2" s="166" t="s">
        <v>4</v>
      </c>
      <c r="C2" s="183" t="s">
        <v>0</v>
      </c>
      <c r="D2" s="185" t="s">
        <v>185</v>
      </c>
      <c r="E2" s="186"/>
      <c r="F2" s="186"/>
      <c r="G2" s="186"/>
      <c r="H2" s="186"/>
      <c r="I2" s="186"/>
      <c r="J2" s="186"/>
    </row>
    <row r="3" spans="1:10" ht="105">
      <c r="A3" s="137" t="s">
        <v>180</v>
      </c>
      <c r="B3" s="167"/>
      <c r="C3" s="184"/>
      <c r="D3" s="95" t="s">
        <v>1</v>
      </c>
      <c r="E3" s="95" t="s">
        <v>2</v>
      </c>
      <c r="F3" s="149" t="s">
        <v>140</v>
      </c>
      <c r="G3" s="149" t="s">
        <v>141</v>
      </c>
      <c r="H3" s="149" t="s">
        <v>142</v>
      </c>
      <c r="I3" s="150" t="s">
        <v>170</v>
      </c>
      <c r="J3" s="151" t="s">
        <v>171</v>
      </c>
    </row>
    <row r="4" spans="1:10" s="98" customFormat="1">
      <c r="A4" s="138" t="s">
        <v>179</v>
      </c>
      <c r="B4" s="121">
        <v>221</v>
      </c>
      <c r="C4" s="144" t="s">
        <v>3</v>
      </c>
      <c r="D4" s="3">
        <f>5814+20822</f>
        <v>26636</v>
      </c>
      <c r="E4" s="3">
        <v>27000</v>
      </c>
      <c r="F4" s="3"/>
      <c r="G4" s="3">
        <v>27000</v>
      </c>
      <c r="H4" s="3">
        <f>E4-F4-G4</f>
        <v>0</v>
      </c>
      <c r="I4" s="3"/>
      <c r="J4" s="3">
        <f>H4+I4</f>
        <v>0</v>
      </c>
    </row>
    <row r="5" spans="1:10" s="98" customFormat="1" ht="25.5" customHeight="1">
      <c r="A5" s="138" t="s">
        <v>179</v>
      </c>
      <c r="B5" s="121">
        <v>223</v>
      </c>
      <c r="C5" s="144" t="s">
        <v>8</v>
      </c>
      <c r="D5" s="3">
        <f t="shared" ref="D5:J5" si="0">D6+D7+D8+D9</f>
        <v>383488.58</v>
      </c>
      <c r="E5" s="3">
        <f t="shared" si="0"/>
        <v>321900</v>
      </c>
      <c r="F5" s="3">
        <f t="shared" si="0"/>
        <v>56203.07</v>
      </c>
      <c r="G5" s="3">
        <f t="shared" si="0"/>
        <v>105028.38</v>
      </c>
      <c r="H5" s="3">
        <f t="shared" si="0"/>
        <v>160668.54999999999</v>
      </c>
      <c r="I5" s="3">
        <f t="shared" si="0"/>
        <v>0</v>
      </c>
      <c r="J5" s="3">
        <f t="shared" si="0"/>
        <v>160668.54999999999</v>
      </c>
    </row>
    <row r="6" spans="1:10" ht="18" customHeight="1">
      <c r="A6" s="138" t="s">
        <v>179</v>
      </c>
      <c r="B6" s="121"/>
      <c r="C6" s="145" t="s">
        <v>9</v>
      </c>
      <c r="D6" s="3">
        <v>370878.58</v>
      </c>
      <c r="E6" s="3">
        <f>321900-E7-E9</f>
        <v>298400</v>
      </c>
      <c r="F6" s="3">
        <v>52014.19</v>
      </c>
      <c r="G6" s="3">
        <f>F6*2</f>
        <v>104028.38</v>
      </c>
      <c r="H6" s="3">
        <f t="shared" ref="H6:H17" si="1">E6-F6-G6</f>
        <v>142357.43</v>
      </c>
      <c r="I6" s="3"/>
      <c r="J6" s="3">
        <f>H6+I6</f>
        <v>142357.43</v>
      </c>
    </row>
    <row r="7" spans="1:10" ht="18.75" customHeight="1">
      <c r="A7" s="138" t="s">
        <v>179</v>
      </c>
      <c r="B7" s="121"/>
      <c r="C7" s="145" t="s">
        <v>10</v>
      </c>
      <c r="D7" s="3">
        <v>12610</v>
      </c>
      <c r="E7" s="3">
        <v>22500</v>
      </c>
      <c r="F7" s="3">
        <v>4188.88</v>
      </c>
      <c r="G7" s="3"/>
      <c r="H7" s="3">
        <f t="shared" si="1"/>
        <v>18311.12</v>
      </c>
      <c r="I7" s="3"/>
      <c r="J7" s="3">
        <f t="shared" ref="J7:J17" si="2">H7+I7</f>
        <v>18311.12</v>
      </c>
    </row>
    <row r="8" spans="1:10" ht="14.25" customHeight="1">
      <c r="A8" s="138" t="s">
        <v>179</v>
      </c>
      <c r="B8" s="121"/>
      <c r="C8" s="145" t="s">
        <v>11</v>
      </c>
      <c r="D8" s="3"/>
      <c r="E8" s="3"/>
      <c r="F8" s="3"/>
      <c r="G8" s="3"/>
      <c r="H8" s="3">
        <f t="shared" si="1"/>
        <v>0</v>
      </c>
      <c r="I8" s="3"/>
      <c r="J8" s="3">
        <f t="shared" si="2"/>
        <v>0</v>
      </c>
    </row>
    <row r="9" spans="1:10">
      <c r="A9" s="138" t="s">
        <v>179</v>
      </c>
      <c r="B9" s="121"/>
      <c r="C9" s="145" t="s">
        <v>12</v>
      </c>
      <c r="D9" s="3"/>
      <c r="E9" s="3">
        <v>1000</v>
      </c>
      <c r="F9" s="3"/>
      <c r="G9" s="3">
        <v>1000</v>
      </c>
      <c r="H9" s="3">
        <f t="shared" si="1"/>
        <v>0</v>
      </c>
      <c r="I9" s="3"/>
      <c r="J9" s="3">
        <f t="shared" si="2"/>
        <v>0</v>
      </c>
    </row>
    <row r="10" spans="1:10" ht="30" customHeight="1">
      <c r="A10" s="138" t="s">
        <v>179</v>
      </c>
      <c r="B10" s="121">
        <v>225</v>
      </c>
      <c r="C10" s="146" t="s">
        <v>143</v>
      </c>
      <c r="D10" s="3">
        <f>2*250+341*12</f>
        <v>4592</v>
      </c>
      <c r="E10" s="3"/>
      <c r="F10" s="3">
        <v>11500</v>
      </c>
      <c r="G10" s="3"/>
      <c r="H10" s="3">
        <f t="shared" si="1"/>
        <v>-11500</v>
      </c>
      <c r="I10" s="3">
        <v>11500</v>
      </c>
      <c r="J10" s="3">
        <f t="shared" si="2"/>
        <v>0</v>
      </c>
    </row>
    <row r="11" spans="1:10" ht="18" customHeight="1">
      <c r="A11" s="138" t="s">
        <v>179</v>
      </c>
      <c r="B11" s="121">
        <v>226</v>
      </c>
      <c r="C11" s="144" t="s">
        <v>5</v>
      </c>
      <c r="D11" s="3">
        <f>5000+1800</f>
        <v>6800</v>
      </c>
      <c r="E11" s="3"/>
      <c r="F11" s="3">
        <v>4950</v>
      </c>
      <c r="G11" s="3"/>
      <c r="H11" s="3">
        <f>E11-F11-G11</f>
        <v>-4950</v>
      </c>
      <c r="I11" s="3">
        <v>4950</v>
      </c>
      <c r="J11" s="3">
        <f t="shared" si="2"/>
        <v>0</v>
      </c>
    </row>
    <row r="12" spans="1:10" ht="16.5" customHeight="1">
      <c r="A12" s="138" t="s">
        <v>179</v>
      </c>
      <c r="B12" s="121">
        <v>226</v>
      </c>
      <c r="C12" s="146" t="s">
        <v>13</v>
      </c>
      <c r="D12" s="3"/>
      <c r="E12" s="3"/>
      <c r="F12" s="3"/>
      <c r="G12" s="3"/>
      <c r="H12" s="3">
        <f t="shared" si="1"/>
        <v>0</v>
      </c>
      <c r="I12" s="3"/>
      <c r="J12" s="3">
        <f t="shared" si="2"/>
        <v>0</v>
      </c>
    </row>
    <row r="13" spans="1:10" s="98" customFormat="1" ht="16.5" customHeight="1">
      <c r="A13" s="138" t="s">
        <v>179</v>
      </c>
      <c r="B13" s="121">
        <v>290</v>
      </c>
      <c r="C13" s="144"/>
      <c r="D13" s="3"/>
      <c r="E13" s="3"/>
      <c r="F13" s="3"/>
      <c r="G13" s="3"/>
      <c r="H13" s="3">
        <f t="shared" si="1"/>
        <v>0</v>
      </c>
      <c r="I13" s="3"/>
      <c r="J13" s="3">
        <f t="shared" si="2"/>
        <v>0</v>
      </c>
    </row>
    <row r="14" spans="1:10" s="98" customFormat="1" ht="16.5" customHeight="1">
      <c r="A14" s="138" t="s">
        <v>179</v>
      </c>
      <c r="B14" s="121">
        <v>290</v>
      </c>
      <c r="C14" s="144"/>
      <c r="D14" s="3"/>
      <c r="E14" s="3"/>
      <c r="F14" s="3"/>
      <c r="G14" s="3"/>
      <c r="H14" s="3">
        <f t="shared" si="1"/>
        <v>0</v>
      </c>
      <c r="I14" s="3"/>
      <c r="J14" s="3">
        <f t="shared" si="2"/>
        <v>0</v>
      </c>
    </row>
    <row r="15" spans="1:10" ht="30" customHeight="1">
      <c r="A15" s="138" t="s">
        <v>179</v>
      </c>
      <c r="B15" s="121">
        <v>310</v>
      </c>
      <c r="C15" s="144" t="s">
        <v>6</v>
      </c>
      <c r="D15" s="3">
        <f>40000+30000</f>
        <v>70000</v>
      </c>
      <c r="E15" s="3"/>
      <c r="F15" s="3"/>
      <c r="G15" s="3"/>
      <c r="H15" s="3">
        <f t="shared" si="1"/>
        <v>0</v>
      </c>
      <c r="I15" s="3"/>
      <c r="J15" s="3">
        <f t="shared" si="2"/>
        <v>0</v>
      </c>
    </row>
    <row r="16" spans="1:10" s="98" customFormat="1" ht="34.5" customHeight="1">
      <c r="A16" s="138" t="s">
        <v>179</v>
      </c>
      <c r="B16" s="121">
        <v>340</v>
      </c>
      <c r="C16" s="144" t="s">
        <v>7</v>
      </c>
      <c r="D16" s="3">
        <f>500+500+1000+3000+300+500+30000</f>
        <v>35800</v>
      </c>
      <c r="E16" s="3">
        <v>40000</v>
      </c>
      <c r="F16" s="3"/>
      <c r="G16" s="3"/>
      <c r="H16" s="3">
        <f t="shared" si="1"/>
        <v>40000</v>
      </c>
      <c r="I16" s="3">
        <f>-4950-11500-1400</f>
        <v>-17850</v>
      </c>
      <c r="J16" s="3">
        <f t="shared" si="2"/>
        <v>22150</v>
      </c>
    </row>
    <row r="17" spans="1:28" s="98" customFormat="1" ht="40.5" customHeight="1">
      <c r="A17" s="138" t="s">
        <v>183</v>
      </c>
      <c r="B17" s="121">
        <v>342</v>
      </c>
      <c r="C17" s="144" t="s">
        <v>184</v>
      </c>
      <c r="D17" s="3">
        <v>36180</v>
      </c>
      <c r="E17" s="3">
        <v>36180</v>
      </c>
      <c r="F17" s="3"/>
      <c r="G17" s="3"/>
      <c r="H17" s="3">
        <f t="shared" si="1"/>
        <v>36180</v>
      </c>
      <c r="I17" s="3"/>
      <c r="J17" s="3">
        <f t="shared" si="2"/>
        <v>36180</v>
      </c>
    </row>
    <row r="18" spans="1:28">
      <c r="A18" s="139"/>
      <c r="B18" s="121"/>
      <c r="C18" s="147" t="s">
        <v>172</v>
      </c>
      <c r="D18" s="3">
        <f t="shared" ref="D18:J18" si="3">D4+D5+D10+D11+D12+D15+D16+D17</f>
        <v>563496.58000000007</v>
      </c>
      <c r="E18" s="3">
        <f t="shared" si="3"/>
        <v>425080</v>
      </c>
      <c r="F18" s="3">
        <f t="shared" si="3"/>
        <v>72653.070000000007</v>
      </c>
      <c r="G18" s="3">
        <f t="shared" si="3"/>
        <v>132028.38</v>
      </c>
      <c r="H18" s="3">
        <f t="shared" si="3"/>
        <v>220398.55</v>
      </c>
      <c r="I18" s="3">
        <f t="shared" si="3"/>
        <v>-1400</v>
      </c>
      <c r="J18" s="3">
        <f t="shared" si="3"/>
        <v>218998.55</v>
      </c>
    </row>
    <row r="19" spans="1:28" s="104" customFormat="1">
      <c r="A19" s="140"/>
      <c r="B19" s="124"/>
      <c r="C19" s="148">
        <v>0.5</v>
      </c>
      <c r="D19" s="101"/>
      <c r="E19" s="102"/>
      <c r="F19" s="102"/>
      <c r="G19" s="102"/>
      <c r="H19" s="102"/>
      <c r="I19" s="102"/>
      <c r="J19" s="102">
        <f>J18*50%</f>
        <v>109499.27499999999</v>
      </c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</row>
    <row r="20" spans="1:28">
      <c r="A20" s="139"/>
      <c r="B20" s="132" t="s">
        <v>133</v>
      </c>
      <c r="C20" s="105"/>
      <c r="E20" s="97" t="s">
        <v>14</v>
      </c>
    </row>
    <row r="21" spans="1:28">
      <c r="A21" s="180" t="s">
        <v>130</v>
      </c>
      <c r="B21" s="181"/>
      <c r="C21" s="182"/>
      <c r="D21" s="128"/>
      <c r="E21" s="6">
        <v>1500</v>
      </c>
    </row>
    <row r="22" spans="1:28">
      <c r="A22" s="180" t="s">
        <v>131</v>
      </c>
      <c r="B22" s="181"/>
      <c r="C22" s="182"/>
      <c r="D22" s="128"/>
      <c r="E22" s="6">
        <v>10000</v>
      </c>
    </row>
    <row r="23" spans="1:28">
      <c r="A23" s="180" t="s">
        <v>134</v>
      </c>
      <c r="B23" s="181"/>
      <c r="C23" s="182"/>
      <c r="D23" s="128"/>
      <c r="E23" s="6"/>
    </row>
    <row r="24" spans="1:28">
      <c r="A24" s="180" t="s">
        <v>132</v>
      </c>
      <c r="B24" s="181"/>
      <c r="C24" s="182"/>
      <c r="D24" s="128"/>
      <c r="E24" s="6">
        <v>4950</v>
      </c>
    </row>
    <row r="25" spans="1:28">
      <c r="A25" s="141"/>
      <c r="B25" s="134"/>
      <c r="C25" s="135" t="s">
        <v>129</v>
      </c>
      <c r="D25" s="101"/>
      <c r="E25" s="102">
        <f>E24+E23+E22+E21</f>
        <v>16450</v>
      </c>
    </row>
    <row r="26" spans="1:28">
      <c r="A26" s="139"/>
      <c r="B26" s="108"/>
      <c r="C26" s="129" t="s">
        <v>14</v>
      </c>
      <c r="D26" s="110"/>
      <c r="F26" s="110" t="s">
        <v>173</v>
      </c>
      <c r="G26" s="110" t="s">
        <v>174</v>
      </c>
      <c r="H26" s="111" t="s">
        <v>175</v>
      </c>
    </row>
    <row r="27" spans="1:28" ht="30">
      <c r="A27" s="139"/>
      <c r="B27" s="131"/>
      <c r="C27" s="130" t="s">
        <v>176</v>
      </c>
      <c r="D27" s="113"/>
      <c r="E27" s="113"/>
      <c r="F27" s="143">
        <f>52014.19*4</f>
        <v>208056.76</v>
      </c>
      <c r="G27" s="133">
        <f>54274.05*3</f>
        <v>162822.15000000002</v>
      </c>
      <c r="H27" s="133">
        <f>F27+G27</f>
        <v>370878.91000000003</v>
      </c>
    </row>
    <row r="28" spans="1:28">
      <c r="B28" s="107"/>
    </row>
  </sheetData>
  <mergeCells count="8">
    <mergeCell ref="A22:C22"/>
    <mergeCell ref="A23:C23"/>
    <mergeCell ref="A24:C24"/>
    <mergeCell ref="A1:J1"/>
    <mergeCell ref="B2:B3"/>
    <mergeCell ref="C2:C3"/>
    <mergeCell ref="D2:J2"/>
    <mergeCell ref="A21:C21"/>
  </mergeCells>
  <phoneticPr fontId="6" type="noConversion"/>
  <printOptions horizontalCentered="1"/>
  <pageMargins left="0.15748031496062992" right="0.15748031496062992" top="0.98425196850393704" bottom="0.55118110236220474" header="0.51181102362204722" footer="0.51181102362204722"/>
  <pageSetup paperSize="9" scale="87" orientation="portrait" r:id="rId1"/>
  <headerFooter alignWithMargins="0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N298"/>
  <sheetViews>
    <sheetView topLeftCell="A118" workbookViewId="0">
      <selection activeCell="C100" sqref="C100"/>
    </sheetView>
  </sheetViews>
  <sheetFormatPr defaultRowHeight="15"/>
  <cols>
    <col min="1" max="1" width="54" style="92" customWidth="1"/>
    <col min="2" max="2" width="6.140625" style="43" customWidth="1"/>
    <col min="3" max="5" width="9.140625" style="43"/>
    <col min="6" max="6" width="6.7109375" style="43" customWidth="1"/>
    <col min="7" max="7" width="16.140625" style="44" customWidth="1"/>
    <col min="8" max="8" width="13.140625" style="44" customWidth="1"/>
    <col min="9" max="9" width="13.28515625" style="44" customWidth="1"/>
    <col min="10" max="16384" width="9.140625" style="45"/>
  </cols>
  <sheetData>
    <row r="1" spans="1:9">
      <c r="A1" s="42" t="s">
        <v>144</v>
      </c>
    </row>
    <row r="2" spans="1:9" s="7" customFormat="1" ht="27.75" customHeight="1">
      <c r="A2" s="187" t="s">
        <v>17</v>
      </c>
      <c r="B2" s="188"/>
      <c r="C2" s="188"/>
      <c r="D2" s="188"/>
      <c r="E2" s="188"/>
      <c r="F2" s="188"/>
      <c r="G2" s="188"/>
      <c r="H2" s="188"/>
      <c r="I2" s="188"/>
    </row>
    <row r="3" spans="1:9" s="9" customFormat="1" ht="15" customHeight="1">
      <c r="A3" s="8"/>
      <c r="B3" s="189" t="s">
        <v>18</v>
      </c>
      <c r="C3" s="189"/>
      <c r="D3" s="189"/>
      <c r="E3" s="189"/>
      <c r="F3" s="189"/>
      <c r="G3" s="190" t="s">
        <v>19</v>
      </c>
      <c r="H3" s="190" t="s">
        <v>20</v>
      </c>
      <c r="I3" s="190" t="s">
        <v>21</v>
      </c>
    </row>
    <row r="4" spans="1:9" s="9" customFormat="1" ht="50.25" customHeight="1">
      <c r="A4" s="8"/>
      <c r="B4" s="46" t="s">
        <v>22</v>
      </c>
      <c r="C4" s="46" t="s">
        <v>23</v>
      </c>
      <c r="D4" s="46" t="s">
        <v>24</v>
      </c>
      <c r="E4" s="46" t="s">
        <v>25</v>
      </c>
      <c r="F4" s="46" t="s">
        <v>26</v>
      </c>
      <c r="G4" s="191"/>
      <c r="H4" s="191"/>
      <c r="I4" s="191"/>
    </row>
    <row r="5" spans="1:9" s="12" customFormat="1" ht="11.25" customHeight="1">
      <c r="A5" s="48" t="s">
        <v>27</v>
      </c>
      <c r="B5" s="49"/>
      <c r="C5" s="49"/>
      <c r="D5" s="50"/>
      <c r="E5" s="50"/>
      <c r="F5" s="50"/>
      <c r="G5" s="51"/>
      <c r="H5" s="10"/>
      <c r="I5" s="11"/>
    </row>
    <row r="6" spans="1:9" s="9" customFormat="1" ht="63" customHeight="1">
      <c r="A6" s="8" t="s">
        <v>28</v>
      </c>
      <c r="B6" s="13" t="s">
        <v>29</v>
      </c>
      <c r="C6" s="13" t="s">
        <v>30</v>
      </c>
      <c r="D6" s="13" t="s">
        <v>31</v>
      </c>
      <c r="E6" s="13"/>
      <c r="F6" s="13"/>
      <c r="G6" s="14">
        <f>G7+G8</f>
        <v>18826000</v>
      </c>
      <c r="H6" s="14">
        <f>H7+H8</f>
        <v>1795442.98</v>
      </c>
      <c r="I6" s="14">
        <f>H6-G6</f>
        <v>-17030557.02</v>
      </c>
    </row>
    <row r="7" spans="1:9" s="9" customFormat="1" ht="33.75" customHeight="1">
      <c r="A7" s="8" t="s">
        <v>32</v>
      </c>
      <c r="B7" s="13" t="s">
        <v>29</v>
      </c>
      <c r="C7" s="13" t="s">
        <v>30</v>
      </c>
      <c r="D7" s="13" t="s">
        <v>31</v>
      </c>
      <c r="E7" s="13" t="s">
        <v>33</v>
      </c>
      <c r="F7" s="13"/>
      <c r="G7" s="14">
        <v>14459000</v>
      </c>
      <c r="H7" s="14">
        <v>1375860.1</v>
      </c>
      <c r="I7" s="14">
        <f t="shared" ref="I7:I70" si="0">H7-G7</f>
        <v>-13083139.9</v>
      </c>
    </row>
    <row r="8" spans="1:9" s="9" customFormat="1" ht="42" customHeight="1">
      <c r="A8" s="8" t="s">
        <v>34</v>
      </c>
      <c r="B8" s="13" t="s">
        <v>29</v>
      </c>
      <c r="C8" s="13" t="s">
        <v>30</v>
      </c>
      <c r="D8" s="13" t="s">
        <v>31</v>
      </c>
      <c r="E8" s="13" t="s">
        <v>35</v>
      </c>
      <c r="F8" s="13"/>
      <c r="G8" s="14">
        <v>4367000</v>
      </c>
      <c r="H8" s="14">
        <v>419582.88</v>
      </c>
      <c r="I8" s="14">
        <f t="shared" si="0"/>
        <v>-3947417.12</v>
      </c>
    </row>
    <row r="9" spans="1:9" s="12" customFormat="1" ht="15" customHeight="1">
      <c r="A9" s="35" t="s">
        <v>136</v>
      </c>
      <c r="B9" s="24"/>
      <c r="C9" s="24"/>
      <c r="D9" s="24"/>
      <c r="E9" s="24"/>
      <c r="F9" s="24"/>
      <c r="G9" s="25">
        <f>G8+G7</f>
        <v>18826000</v>
      </c>
      <c r="H9" s="25">
        <f>H8+H7</f>
        <v>1795442.98</v>
      </c>
      <c r="I9" s="25">
        <f t="shared" si="0"/>
        <v>-17030557.02</v>
      </c>
    </row>
    <row r="10" spans="1:9" s="9" customFormat="1" ht="49.5" customHeight="1">
      <c r="A10" s="8" t="s">
        <v>36</v>
      </c>
      <c r="B10" s="13" t="s">
        <v>29</v>
      </c>
      <c r="C10" s="13" t="s">
        <v>37</v>
      </c>
      <c r="D10" s="13" t="s">
        <v>38</v>
      </c>
      <c r="E10" s="13"/>
      <c r="F10" s="13"/>
      <c r="G10" s="14">
        <f>G11+G12</f>
        <v>660000</v>
      </c>
      <c r="H10" s="14">
        <f>H11+H12</f>
        <v>31500</v>
      </c>
      <c r="I10" s="14">
        <f t="shared" si="0"/>
        <v>-628500</v>
      </c>
    </row>
    <row r="11" spans="1:9" s="9" customFormat="1" ht="20.25" customHeight="1">
      <c r="A11" s="8" t="s">
        <v>6</v>
      </c>
      <c r="B11" s="13" t="s">
        <v>29</v>
      </c>
      <c r="C11" s="13" t="s">
        <v>37</v>
      </c>
      <c r="D11" s="13" t="s">
        <v>38</v>
      </c>
      <c r="E11" s="13" t="s">
        <v>39</v>
      </c>
      <c r="F11" s="13"/>
      <c r="G11" s="14">
        <v>160000</v>
      </c>
      <c r="H11" s="14"/>
      <c r="I11" s="14">
        <f t="shared" si="0"/>
        <v>-160000</v>
      </c>
    </row>
    <row r="12" spans="1:9" s="9" customFormat="1" ht="21" customHeight="1">
      <c r="A12" s="8" t="s">
        <v>7</v>
      </c>
      <c r="B12" s="13" t="s">
        <v>29</v>
      </c>
      <c r="C12" s="13" t="s">
        <v>37</v>
      </c>
      <c r="D12" s="13" t="s">
        <v>38</v>
      </c>
      <c r="E12" s="13" t="s">
        <v>40</v>
      </c>
      <c r="F12" s="13" t="s">
        <v>41</v>
      </c>
      <c r="G12" s="14">
        <v>500000</v>
      </c>
      <c r="H12" s="14">
        <v>31500</v>
      </c>
      <c r="I12" s="14">
        <f t="shared" si="0"/>
        <v>-468500</v>
      </c>
    </row>
    <row r="13" spans="1:9" s="12" customFormat="1" ht="18.75" customHeight="1">
      <c r="A13" s="35" t="s">
        <v>136</v>
      </c>
      <c r="B13" s="24"/>
      <c r="C13" s="24"/>
      <c r="D13" s="24"/>
      <c r="E13" s="24"/>
      <c r="F13" s="24"/>
      <c r="G13" s="25">
        <f>G10</f>
        <v>660000</v>
      </c>
      <c r="H13" s="25">
        <f>H10</f>
        <v>31500</v>
      </c>
      <c r="I13" s="25">
        <f t="shared" si="0"/>
        <v>-628500</v>
      </c>
    </row>
    <row r="14" spans="1:9" s="9" customFormat="1" ht="30" customHeight="1">
      <c r="A14" s="8" t="s">
        <v>145</v>
      </c>
      <c r="B14" s="13" t="s">
        <v>29</v>
      </c>
      <c r="C14" s="13" t="s">
        <v>42</v>
      </c>
      <c r="D14" s="13" t="s">
        <v>31</v>
      </c>
      <c r="E14" s="13"/>
      <c r="F14" s="13"/>
      <c r="G14" s="14">
        <f>G15+G16</f>
        <v>1000000</v>
      </c>
      <c r="H14" s="14">
        <f>H15+H16</f>
        <v>504900.12</v>
      </c>
      <c r="I14" s="14">
        <f t="shared" si="0"/>
        <v>-495099.88</v>
      </c>
    </row>
    <row r="15" spans="1:9" s="9" customFormat="1" ht="38.25" customHeight="1">
      <c r="A15" s="8" t="s">
        <v>32</v>
      </c>
      <c r="B15" s="13" t="s">
        <v>29</v>
      </c>
      <c r="C15" s="13" t="s">
        <v>42</v>
      </c>
      <c r="D15" s="13" t="s">
        <v>31</v>
      </c>
      <c r="E15" s="13" t="s">
        <v>33</v>
      </c>
      <c r="F15" s="13"/>
      <c r="G15" s="14">
        <v>1000000</v>
      </c>
      <c r="H15" s="14">
        <v>504900.12</v>
      </c>
      <c r="I15" s="14">
        <f t="shared" si="0"/>
        <v>-495099.88</v>
      </c>
    </row>
    <row r="16" spans="1:9" s="9" customFormat="1" ht="48" customHeight="1">
      <c r="A16" s="8" t="s">
        <v>34</v>
      </c>
      <c r="B16" s="13" t="s">
        <v>29</v>
      </c>
      <c r="C16" s="13" t="s">
        <v>42</v>
      </c>
      <c r="D16" s="13" t="s">
        <v>31</v>
      </c>
      <c r="E16" s="13" t="s">
        <v>35</v>
      </c>
      <c r="F16" s="13"/>
      <c r="G16" s="14"/>
      <c r="H16" s="14"/>
      <c r="I16" s="14">
        <f t="shared" si="0"/>
        <v>0</v>
      </c>
    </row>
    <row r="17" spans="1:9" s="9" customFormat="1" ht="25.5">
      <c r="A17" s="8" t="s">
        <v>145</v>
      </c>
      <c r="B17" s="13" t="s">
        <v>29</v>
      </c>
      <c r="C17" s="13" t="s">
        <v>42</v>
      </c>
      <c r="D17" s="13" t="s">
        <v>43</v>
      </c>
      <c r="E17" s="13"/>
      <c r="F17" s="13"/>
      <c r="G17" s="14">
        <f>G18+G19</f>
        <v>7000</v>
      </c>
      <c r="H17" s="14">
        <f>H18+H19</f>
        <v>0</v>
      </c>
      <c r="I17" s="14">
        <f t="shared" si="0"/>
        <v>-7000</v>
      </c>
    </row>
    <row r="18" spans="1:9" s="9" customFormat="1" ht="38.25">
      <c r="A18" s="8" t="s">
        <v>44</v>
      </c>
      <c r="B18" s="13" t="s">
        <v>29</v>
      </c>
      <c r="C18" s="13" t="s">
        <v>42</v>
      </c>
      <c r="D18" s="13" t="s">
        <v>43</v>
      </c>
      <c r="E18" s="13" t="s">
        <v>45</v>
      </c>
      <c r="F18" s="13"/>
      <c r="G18" s="14">
        <v>6000</v>
      </c>
      <c r="H18" s="14"/>
      <c r="I18" s="14">
        <f t="shared" si="0"/>
        <v>-6000</v>
      </c>
    </row>
    <row r="19" spans="1:9" s="9" customFormat="1" ht="38.25">
      <c r="A19" s="8" t="s">
        <v>46</v>
      </c>
      <c r="B19" s="13" t="s">
        <v>29</v>
      </c>
      <c r="C19" s="13" t="s">
        <v>42</v>
      </c>
      <c r="D19" s="13" t="s">
        <v>43</v>
      </c>
      <c r="E19" s="13" t="s">
        <v>47</v>
      </c>
      <c r="F19" s="13"/>
      <c r="G19" s="14">
        <v>1000</v>
      </c>
      <c r="H19" s="14"/>
      <c r="I19" s="14">
        <f t="shared" si="0"/>
        <v>-1000</v>
      </c>
    </row>
    <row r="20" spans="1:9" s="9" customFormat="1" ht="25.5">
      <c r="A20" s="8" t="s">
        <v>48</v>
      </c>
      <c r="B20" s="13" t="s">
        <v>29</v>
      </c>
      <c r="C20" s="13" t="s">
        <v>42</v>
      </c>
      <c r="D20" s="13" t="s">
        <v>38</v>
      </c>
      <c r="E20" s="13"/>
      <c r="F20" s="13"/>
      <c r="G20" s="14">
        <f>G21+G22+G27+G28+G30+G34+G33+G32+G29</f>
        <v>11993000</v>
      </c>
      <c r="H20" s="14">
        <f>H21+H22+H27+H28+H30+H34+H33+H32+H29</f>
        <v>1730156.6199999996</v>
      </c>
      <c r="I20" s="14">
        <f t="shared" si="0"/>
        <v>-10262843.380000001</v>
      </c>
    </row>
    <row r="21" spans="1:9" s="9" customFormat="1" ht="12.75">
      <c r="A21" s="8" t="s">
        <v>3</v>
      </c>
      <c r="B21" s="13" t="s">
        <v>29</v>
      </c>
      <c r="C21" s="13" t="s">
        <v>42</v>
      </c>
      <c r="D21" s="13" t="s">
        <v>38</v>
      </c>
      <c r="E21" s="13" t="s">
        <v>49</v>
      </c>
      <c r="F21" s="13"/>
      <c r="G21" s="14">
        <f>90000+1000</f>
        <v>91000</v>
      </c>
      <c r="H21" s="14">
        <v>19735.599999999999</v>
      </c>
      <c r="I21" s="14">
        <f t="shared" si="0"/>
        <v>-71264.399999999994</v>
      </c>
    </row>
    <row r="22" spans="1:9" s="9" customFormat="1" ht="14.25">
      <c r="A22" s="8" t="s">
        <v>50</v>
      </c>
      <c r="B22" s="13" t="s">
        <v>29</v>
      </c>
      <c r="C22" s="13" t="s">
        <v>42</v>
      </c>
      <c r="D22" s="13" t="s">
        <v>38</v>
      </c>
      <c r="E22" s="13" t="s">
        <v>51</v>
      </c>
      <c r="F22" s="13"/>
      <c r="G22" s="15">
        <f>G23+G24+G25+G26</f>
        <v>7271000</v>
      </c>
      <c r="H22" s="15">
        <f>H23+H24+H25+H26</f>
        <v>1195744.5199999998</v>
      </c>
      <c r="I22" s="14">
        <f t="shared" si="0"/>
        <v>-6075255.4800000004</v>
      </c>
    </row>
    <row r="23" spans="1:9" s="9" customFormat="1" ht="14.25">
      <c r="A23" s="16" t="s">
        <v>9</v>
      </c>
      <c r="B23" s="13"/>
      <c r="C23" s="13"/>
      <c r="D23" s="13"/>
      <c r="E23" s="13"/>
      <c r="F23" s="13"/>
      <c r="G23" s="17">
        <f>5816000</f>
        <v>5816000</v>
      </c>
      <c r="H23" s="15">
        <v>909408.82</v>
      </c>
      <c r="I23" s="14">
        <f t="shared" si="0"/>
        <v>-4906591.18</v>
      </c>
    </row>
    <row r="24" spans="1:9" s="9" customFormat="1" ht="14.25">
      <c r="A24" s="16" t="s">
        <v>10</v>
      </c>
      <c r="B24" s="13"/>
      <c r="C24" s="13"/>
      <c r="D24" s="13"/>
      <c r="E24" s="13"/>
      <c r="F24" s="13"/>
      <c r="G24" s="17">
        <v>1002000</v>
      </c>
      <c r="H24" s="15">
        <v>206949.02</v>
      </c>
      <c r="I24" s="14">
        <f t="shared" si="0"/>
        <v>-795050.98</v>
      </c>
    </row>
    <row r="25" spans="1:9" s="9" customFormat="1" ht="14.25">
      <c r="A25" s="16" t="s">
        <v>11</v>
      </c>
      <c r="B25" s="13"/>
      <c r="C25" s="13"/>
      <c r="D25" s="13"/>
      <c r="E25" s="13"/>
      <c r="F25" s="13"/>
      <c r="G25" s="17">
        <v>316800</v>
      </c>
      <c r="H25" s="15">
        <v>65715.41</v>
      </c>
      <c r="I25" s="14">
        <f t="shared" si="0"/>
        <v>-251084.59</v>
      </c>
    </row>
    <row r="26" spans="1:9" s="9" customFormat="1" ht="14.25">
      <c r="A26" s="16" t="s">
        <v>12</v>
      </c>
      <c r="B26" s="13"/>
      <c r="C26" s="13"/>
      <c r="D26" s="13"/>
      <c r="E26" s="13"/>
      <c r="F26" s="13"/>
      <c r="G26" s="17">
        <v>136200</v>
      </c>
      <c r="H26" s="15">
        <v>13671.27</v>
      </c>
      <c r="I26" s="14">
        <f t="shared" si="0"/>
        <v>-122528.73</v>
      </c>
    </row>
    <row r="27" spans="1:9" s="9" customFormat="1" ht="12.75">
      <c r="A27" s="8" t="s">
        <v>52</v>
      </c>
      <c r="B27" s="13" t="s">
        <v>29</v>
      </c>
      <c r="C27" s="13" t="s">
        <v>42</v>
      </c>
      <c r="D27" s="13" t="s">
        <v>38</v>
      </c>
      <c r="E27" s="13" t="s">
        <v>53</v>
      </c>
      <c r="F27" s="13"/>
      <c r="G27" s="14">
        <f>907000-435000</f>
        <v>472000</v>
      </c>
      <c r="H27" s="14">
        <v>38892.959999999999</v>
      </c>
      <c r="I27" s="14">
        <f t="shared" si="0"/>
        <v>-433107.04</v>
      </c>
    </row>
    <row r="28" spans="1:9" s="9" customFormat="1" ht="12.75">
      <c r="A28" s="8" t="s">
        <v>54</v>
      </c>
      <c r="B28" s="13" t="s">
        <v>29</v>
      </c>
      <c r="C28" s="13" t="s">
        <v>42</v>
      </c>
      <c r="D28" s="13" t="s">
        <v>38</v>
      </c>
      <c r="E28" s="13" t="s">
        <v>55</v>
      </c>
      <c r="F28" s="13"/>
      <c r="G28" s="14">
        <f>545000+448000</f>
        <v>993000</v>
      </c>
      <c r="H28" s="14">
        <v>48580.66</v>
      </c>
      <c r="I28" s="14">
        <f t="shared" si="0"/>
        <v>-944419.34</v>
      </c>
    </row>
    <row r="29" spans="1:9" s="9" customFormat="1" ht="12.75">
      <c r="A29" s="8" t="s">
        <v>146</v>
      </c>
      <c r="B29" s="13" t="s">
        <v>29</v>
      </c>
      <c r="C29" s="13" t="s">
        <v>42</v>
      </c>
      <c r="D29" s="13" t="s">
        <v>38</v>
      </c>
      <c r="E29" s="13" t="s">
        <v>62</v>
      </c>
      <c r="F29" s="13"/>
      <c r="G29" s="14">
        <f>36000</f>
        <v>36000</v>
      </c>
      <c r="H29" s="14">
        <v>12000</v>
      </c>
      <c r="I29" s="14">
        <f t="shared" si="0"/>
        <v>-24000</v>
      </c>
    </row>
    <row r="30" spans="1:9" s="9" customFormat="1" ht="12.75">
      <c r="A30" s="8" t="s">
        <v>6</v>
      </c>
      <c r="B30" s="13" t="s">
        <v>29</v>
      </c>
      <c r="C30" s="13" t="s">
        <v>42</v>
      </c>
      <c r="D30" s="13" t="s">
        <v>38</v>
      </c>
      <c r="E30" s="13" t="s">
        <v>39</v>
      </c>
      <c r="F30" s="13"/>
      <c r="G30" s="14">
        <v>45000</v>
      </c>
      <c r="H30" s="14"/>
      <c r="I30" s="14">
        <f t="shared" si="0"/>
        <v>-45000</v>
      </c>
    </row>
    <row r="31" spans="1:9" s="9" customFormat="1" ht="12.75">
      <c r="A31" s="8" t="s">
        <v>7</v>
      </c>
      <c r="B31" s="13" t="s">
        <v>29</v>
      </c>
      <c r="C31" s="13" t="s">
        <v>42</v>
      </c>
      <c r="D31" s="13" t="s">
        <v>38</v>
      </c>
      <c r="E31" s="13" t="s">
        <v>40</v>
      </c>
      <c r="F31" s="13"/>
      <c r="G31" s="14">
        <f>G32+G33+G34</f>
        <v>3085000</v>
      </c>
      <c r="H31" s="14">
        <f>H32+H33+H34</f>
        <v>415202.88</v>
      </c>
      <c r="I31" s="14">
        <f t="shared" si="0"/>
        <v>-2669797.12</v>
      </c>
    </row>
    <row r="32" spans="1:9" s="9" customFormat="1" ht="12.75">
      <c r="A32" s="52" t="s">
        <v>56</v>
      </c>
      <c r="B32" s="13" t="s">
        <v>29</v>
      </c>
      <c r="C32" s="13" t="s">
        <v>42</v>
      </c>
      <c r="D32" s="13" t="s">
        <v>38</v>
      </c>
      <c r="E32" s="13" t="s">
        <v>40</v>
      </c>
      <c r="F32" s="13" t="s">
        <v>57</v>
      </c>
      <c r="G32" s="14">
        <v>2945000</v>
      </c>
      <c r="H32" s="14">
        <v>415202.88</v>
      </c>
      <c r="I32" s="14">
        <f>H32-G32</f>
        <v>-2529797.1200000001</v>
      </c>
    </row>
    <row r="33" spans="1:248" s="9" customFormat="1" ht="12.75">
      <c r="A33" s="52" t="s">
        <v>58</v>
      </c>
      <c r="B33" s="13" t="s">
        <v>29</v>
      </c>
      <c r="C33" s="13" t="s">
        <v>42</v>
      </c>
      <c r="D33" s="13" t="s">
        <v>38</v>
      </c>
      <c r="E33" s="13" t="s">
        <v>40</v>
      </c>
      <c r="F33" s="13" t="s">
        <v>59</v>
      </c>
      <c r="G33" s="14">
        <f>139000-50000</f>
        <v>89000</v>
      </c>
      <c r="H33" s="14"/>
      <c r="I33" s="14">
        <f>H33-G33</f>
        <v>-89000</v>
      </c>
    </row>
    <row r="34" spans="1:248" s="9" customFormat="1" ht="12.75">
      <c r="A34" s="52" t="s">
        <v>12</v>
      </c>
      <c r="B34" s="13" t="s">
        <v>29</v>
      </c>
      <c r="C34" s="13" t="s">
        <v>42</v>
      </c>
      <c r="D34" s="13" t="s">
        <v>38</v>
      </c>
      <c r="E34" s="13" t="s">
        <v>40</v>
      </c>
      <c r="F34" s="13" t="s">
        <v>41</v>
      </c>
      <c r="G34" s="14">
        <v>51000</v>
      </c>
      <c r="H34" s="14"/>
      <c r="I34" s="14">
        <f t="shared" si="0"/>
        <v>-51000</v>
      </c>
    </row>
    <row r="35" spans="1:248" s="9" customFormat="1" ht="15" customHeight="1">
      <c r="A35" s="53"/>
      <c r="B35" s="13"/>
      <c r="C35" s="13"/>
      <c r="D35" s="13"/>
      <c r="E35" s="13"/>
      <c r="F35" s="13"/>
      <c r="G35" s="13"/>
      <c r="H35" s="13"/>
      <c r="I35" s="13"/>
    </row>
    <row r="36" spans="1:248" s="9" customFormat="1" ht="25.5">
      <c r="A36" s="8" t="s">
        <v>60</v>
      </c>
      <c r="B36" s="13" t="s">
        <v>29</v>
      </c>
      <c r="C36" s="13" t="s">
        <v>42</v>
      </c>
      <c r="D36" s="13" t="s">
        <v>61</v>
      </c>
      <c r="E36" s="13" t="s">
        <v>62</v>
      </c>
      <c r="F36" s="13"/>
      <c r="G36" s="14">
        <v>165000</v>
      </c>
      <c r="H36" s="14">
        <v>2075</v>
      </c>
      <c r="I36" s="14">
        <f>H36-G36</f>
        <v>-162925</v>
      </c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</row>
    <row r="37" spans="1:248" s="9" customFormat="1" ht="12.75">
      <c r="A37" s="8" t="s">
        <v>63</v>
      </c>
      <c r="B37" s="13" t="s">
        <v>29</v>
      </c>
      <c r="C37" s="13" t="s">
        <v>42</v>
      </c>
      <c r="D37" s="13" t="s">
        <v>64</v>
      </c>
      <c r="E37" s="13" t="s">
        <v>62</v>
      </c>
      <c r="F37" s="13"/>
      <c r="G37" s="14">
        <v>57000</v>
      </c>
      <c r="H37" s="14"/>
      <c r="I37" s="14">
        <f>H37-G37</f>
        <v>-57000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</row>
    <row r="38" spans="1:248" s="12" customFormat="1" ht="12.75">
      <c r="A38" s="35" t="s">
        <v>136</v>
      </c>
      <c r="B38" s="24"/>
      <c r="C38" s="24"/>
      <c r="D38" s="24"/>
      <c r="E38" s="24"/>
      <c r="F38" s="24"/>
      <c r="G38" s="25">
        <f>G20+G17+G36+G37+G14</f>
        <v>13222000</v>
      </c>
      <c r="H38" s="25">
        <f>H20+H17+H36+H37+H14</f>
        <v>2237131.7399999998</v>
      </c>
      <c r="I38" s="25">
        <f>I20+I17+I36+I37</f>
        <v>-10489768.380000001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</row>
    <row r="39" spans="1:248" s="9" customFormat="1" ht="12.75">
      <c r="A39" s="55" t="s">
        <v>65</v>
      </c>
      <c r="B39" s="55"/>
      <c r="C39" s="55"/>
      <c r="D39" s="55"/>
      <c r="E39" s="55"/>
      <c r="F39" s="55"/>
      <c r="G39" s="56"/>
      <c r="H39" s="56"/>
      <c r="I39" s="14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</row>
    <row r="40" spans="1:248" s="9" customFormat="1" ht="54.75" customHeight="1">
      <c r="A40" s="8" t="s">
        <v>66</v>
      </c>
      <c r="B40" s="13" t="s">
        <v>67</v>
      </c>
      <c r="C40" s="13" t="s">
        <v>68</v>
      </c>
      <c r="D40" s="13" t="s">
        <v>31</v>
      </c>
      <c r="E40" s="13"/>
      <c r="F40" s="13"/>
      <c r="G40" s="14">
        <f>G41+G42</f>
        <v>89876000</v>
      </c>
      <c r="H40" s="14">
        <f>H41+H42</f>
        <v>8238391.8700000001</v>
      </c>
      <c r="I40" s="14">
        <f t="shared" si="0"/>
        <v>-81637608.129999995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</row>
    <row r="41" spans="1:248" s="9" customFormat="1" ht="28.5" customHeight="1">
      <c r="A41" s="8" t="s">
        <v>32</v>
      </c>
      <c r="B41" s="13" t="s">
        <v>67</v>
      </c>
      <c r="C41" s="13" t="s">
        <v>68</v>
      </c>
      <c r="D41" s="13" t="s">
        <v>31</v>
      </c>
      <c r="E41" s="13" t="s">
        <v>33</v>
      </c>
      <c r="F41" s="13"/>
      <c r="G41" s="14">
        <v>69029000</v>
      </c>
      <c r="H41" s="14">
        <v>6719329.0899999999</v>
      </c>
      <c r="I41" s="14">
        <f t="shared" si="0"/>
        <v>-62309670.909999996</v>
      </c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</row>
    <row r="42" spans="1:248" s="9" customFormat="1" ht="38.25" customHeight="1">
      <c r="A42" s="8" t="s">
        <v>34</v>
      </c>
      <c r="B42" s="13" t="s">
        <v>67</v>
      </c>
      <c r="C42" s="13" t="s">
        <v>68</v>
      </c>
      <c r="D42" s="13" t="s">
        <v>31</v>
      </c>
      <c r="E42" s="13" t="s">
        <v>35</v>
      </c>
      <c r="F42" s="13"/>
      <c r="G42" s="14">
        <v>20847000</v>
      </c>
      <c r="H42" s="14">
        <v>1519062.78</v>
      </c>
      <c r="I42" s="14">
        <f t="shared" si="0"/>
        <v>-19327937.219999999</v>
      </c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</row>
    <row r="43" spans="1:248" s="12" customFormat="1" ht="15" customHeight="1">
      <c r="A43" s="35" t="s">
        <v>136</v>
      </c>
      <c r="B43" s="24"/>
      <c r="C43" s="24"/>
      <c r="D43" s="24"/>
      <c r="E43" s="24"/>
      <c r="F43" s="24"/>
      <c r="G43" s="25">
        <f>G40</f>
        <v>89876000</v>
      </c>
      <c r="H43" s="25">
        <f>H40</f>
        <v>8238391.8700000001</v>
      </c>
      <c r="I43" s="25">
        <f>I40</f>
        <v>-81637608.129999995</v>
      </c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</row>
    <row r="44" spans="1:248" s="9" customFormat="1" ht="33.75" customHeight="1">
      <c r="A44" s="8" t="s">
        <v>69</v>
      </c>
      <c r="B44" s="13" t="s">
        <v>67</v>
      </c>
      <c r="C44" s="13" t="s">
        <v>70</v>
      </c>
      <c r="D44" s="13" t="s">
        <v>43</v>
      </c>
      <c r="E44" s="13"/>
      <c r="F44" s="13"/>
      <c r="G44" s="14">
        <f>G45+G46</f>
        <v>77000</v>
      </c>
      <c r="H44" s="14">
        <f>H45+H46</f>
        <v>0</v>
      </c>
      <c r="I44" s="14">
        <f t="shared" si="0"/>
        <v>-77000</v>
      </c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</row>
    <row r="45" spans="1:248" s="9" customFormat="1" ht="41.25" customHeight="1">
      <c r="A45" s="8" t="s">
        <v>44</v>
      </c>
      <c r="B45" s="13" t="s">
        <v>67</v>
      </c>
      <c r="C45" s="13" t="s">
        <v>70</v>
      </c>
      <c r="D45" s="13" t="s">
        <v>43</v>
      </c>
      <c r="E45" s="13" t="s">
        <v>45</v>
      </c>
      <c r="F45" s="13"/>
      <c r="G45" s="14">
        <v>64000</v>
      </c>
      <c r="H45" s="14"/>
      <c r="I45" s="14">
        <f t="shared" si="0"/>
        <v>-64000</v>
      </c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</row>
    <row r="46" spans="1:248" s="9" customFormat="1" ht="42" customHeight="1">
      <c r="A46" s="8" t="s">
        <v>46</v>
      </c>
      <c r="B46" s="13" t="s">
        <v>67</v>
      </c>
      <c r="C46" s="13" t="s">
        <v>70</v>
      </c>
      <c r="D46" s="13" t="s">
        <v>43</v>
      </c>
      <c r="E46" s="13" t="s">
        <v>47</v>
      </c>
      <c r="F46" s="13"/>
      <c r="G46" s="14">
        <v>13000</v>
      </c>
      <c r="H46" s="14"/>
      <c r="I46" s="14">
        <f t="shared" si="0"/>
        <v>-13000</v>
      </c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</row>
    <row r="47" spans="1:248" s="9" customFormat="1" ht="12.75">
      <c r="A47" s="8" t="s">
        <v>71</v>
      </c>
      <c r="B47" s="13" t="s">
        <v>67</v>
      </c>
      <c r="C47" s="13" t="s">
        <v>70</v>
      </c>
      <c r="D47" s="13" t="s">
        <v>38</v>
      </c>
      <c r="E47" s="13"/>
      <c r="F47" s="13"/>
      <c r="G47" s="14">
        <f>G48+G49+G50+G51+G52</f>
        <v>2867000</v>
      </c>
      <c r="H47" s="14">
        <f>H48+H49+H50+H51+H52</f>
        <v>23939.260000000002</v>
      </c>
      <c r="I47" s="14">
        <f t="shared" si="0"/>
        <v>-2843060.74</v>
      </c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</row>
    <row r="48" spans="1:248" s="9" customFormat="1" ht="12.75">
      <c r="A48" s="8" t="s">
        <v>3</v>
      </c>
      <c r="B48" s="13" t="s">
        <v>67</v>
      </c>
      <c r="C48" s="13" t="s">
        <v>70</v>
      </c>
      <c r="D48" s="13" t="s">
        <v>38</v>
      </c>
      <c r="E48" s="13" t="s">
        <v>49</v>
      </c>
      <c r="F48" s="13"/>
      <c r="G48" s="14">
        <f>478000-200000</f>
        <v>278000</v>
      </c>
      <c r="H48" s="14">
        <v>9939.26</v>
      </c>
      <c r="I48" s="14">
        <f t="shared" si="0"/>
        <v>-268060.74</v>
      </c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</row>
    <row r="49" spans="1:248" s="9" customFormat="1" ht="12.75">
      <c r="A49" s="8" t="s">
        <v>52</v>
      </c>
      <c r="B49" s="13" t="s">
        <v>67</v>
      </c>
      <c r="C49" s="13" t="s">
        <v>70</v>
      </c>
      <c r="D49" s="13" t="s">
        <v>38</v>
      </c>
      <c r="E49" s="13" t="s">
        <v>53</v>
      </c>
      <c r="F49" s="13"/>
      <c r="G49" s="14">
        <v>280000</v>
      </c>
      <c r="H49" s="14"/>
      <c r="I49" s="14">
        <f t="shared" si="0"/>
        <v>-280000</v>
      </c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</row>
    <row r="50" spans="1:248" s="9" customFormat="1" ht="12.75">
      <c r="A50" s="8" t="s">
        <v>54</v>
      </c>
      <c r="B50" s="13" t="s">
        <v>67</v>
      </c>
      <c r="C50" s="13" t="s">
        <v>70</v>
      </c>
      <c r="D50" s="13" t="s">
        <v>38</v>
      </c>
      <c r="E50" s="13" t="s">
        <v>55</v>
      </c>
      <c r="F50" s="13"/>
      <c r="G50" s="14">
        <v>167000</v>
      </c>
      <c r="H50" s="14"/>
      <c r="I50" s="14">
        <f t="shared" si="0"/>
        <v>-167000</v>
      </c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</row>
    <row r="51" spans="1:248" s="9" customFormat="1" ht="12.75">
      <c r="A51" s="8" t="s">
        <v>6</v>
      </c>
      <c r="B51" s="13" t="s">
        <v>67</v>
      </c>
      <c r="C51" s="13" t="s">
        <v>70</v>
      </c>
      <c r="D51" s="13" t="s">
        <v>38</v>
      </c>
      <c r="E51" s="13" t="s">
        <v>39</v>
      </c>
      <c r="F51" s="13"/>
      <c r="G51" s="14">
        <f>8000+492000</f>
        <v>500000</v>
      </c>
      <c r="H51" s="14"/>
      <c r="I51" s="14">
        <f t="shared" si="0"/>
        <v>-500000</v>
      </c>
    </row>
    <row r="52" spans="1:248" s="9" customFormat="1" ht="12.75">
      <c r="A52" s="8" t="s">
        <v>7</v>
      </c>
      <c r="B52" s="13" t="s">
        <v>67</v>
      </c>
      <c r="C52" s="13" t="s">
        <v>70</v>
      </c>
      <c r="D52" s="13" t="s">
        <v>38</v>
      </c>
      <c r="E52" s="13" t="s">
        <v>40</v>
      </c>
      <c r="F52" s="13" t="s">
        <v>41</v>
      </c>
      <c r="G52" s="14">
        <f>1933000+201000-224000-268000</f>
        <v>1642000</v>
      </c>
      <c r="H52" s="14">
        <v>14000</v>
      </c>
      <c r="I52" s="14">
        <f t="shared" si="0"/>
        <v>-1628000</v>
      </c>
    </row>
    <row r="53" spans="1:248" s="12" customFormat="1" ht="12.75">
      <c r="A53" s="35" t="s">
        <v>136</v>
      </c>
      <c r="B53" s="24"/>
      <c r="C53" s="24"/>
      <c r="D53" s="24"/>
      <c r="E53" s="24"/>
      <c r="F53" s="24"/>
      <c r="G53" s="25">
        <f>G47+G44</f>
        <v>2944000</v>
      </c>
      <c r="H53" s="25">
        <f>H47+H44</f>
        <v>23939.260000000002</v>
      </c>
      <c r="I53" s="25">
        <f t="shared" si="0"/>
        <v>-2920060.74</v>
      </c>
    </row>
    <row r="54" spans="1:248" s="9" customFormat="1" ht="54" customHeight="1">
      <c r="A54" s="8" t="s">
        <v>72</v>
      </c>
      <c r="B54" s="13" t="s">
        <v>67</v>
      </c>
      <c r="C54" s="13" t="s">
        <v>73</v>
      </c>
      <c r="D54" s="13" t="s">
        <v>31</v>
      </c>
      <c r="E54" s="13"/>
      <c r="F54" s="13"/>
      <c r="G54" s="14">
        <f>G55+G56</f>
        <v>1900000</v>
      </c>
      <c r="H54" s="14">
        <f>H55+H56</f>
        <v>129580.08</v>
      </c>
      <c r="I54" s="14">
        <f>I55+I56</f>
        <v>-1770419.9200000002</v>
      </c>
    </row>
    <row r="55" spans="1:248" s="9" customFormat="1" ht="37.5" customHeight="1">
      <c r="A55" s="8" t="s">
        <v>32</v>
      </c>
      <c r="B55" s="13" t="s">
        <v>67</v>
      </c>
      <c r="C55" s="13" t="s">
        <v>73</v>
      </c>
      <c r="D55" s="13" t="s">
        <v>31</v>
      </c>
      <c r="E55" s="13" t="s">
        <v>33</v>
      </c>
      <c r="F55" s="13"/>
      <c r="G55" s="14">
        <v>1459000</v>
      </c>
      <c r="H55" s="14">
        <v>99522.89</v>
      </c>
      <c r="I55" s="14">
        <f t="shared" si="0"/>
        <v>-1359477.11</v>
      </c>
    </row>
    <row r="56" spans="1:248" s="9" customFormat="1" ht="38.25" customHeight="1">
      <c r="A56" s="8" t="s">
        <v>34</v>
      </c>
      <c r="B56" s="13" t="s">
        <v>67</v>
      </c>
      <c r="C56" s="13" t="s">
        <v>73</v>
      </c>
      <c r="D56" s="13" t="s">
        <v>31</v>
      </c>
      <c r="E56" s="13" t="s">
        <v>35</v>
      </c>
      <c r="F56" s="13"/>
      <c r="G56" s="14">
        <v>441000</v>
      </c>
      <c r="H56" s="14">
        <v>30057.19</v>
      </c>
      <c r="I56" s="14">
        <f t="shared" si="0"/>
        <v>-410942.81</v>
      </c>
    </row>
    <row r="57" spans="1:248" s="12" customFormat="1" ht="12" customHeight="1">
      <c r="A57" s="35" t="s">
        <v>136</v>
      </c>
      <c r="B57" s="24"/>
      <c r="C57" s="24"/>
      <c r="D57" s="24"/>
      <c r="E57" s="24"/>
      <c r="F57" s="24"/>
      <c r="G57" s="25">
        <f>G54</f>
        <v>1900000</v>
      </c>
      <c r="H57" s="25">
        <f>H54</f>
        <v>129580.08</v>
      </c>
      <c r="I57" s="25">
        <f t="shared" si="0"/>
        <v>-1770419.92</v>
      </c>
    </row>
    <row r="58" spans="1:248" s="9" customFormat="1" ht="18.75" customHeight="1">
      <c r="A58" s="8"/>
      <c r="B58" s="13"/>
      <c r="C58" s="13"/>
      <c r="D58" s="13"/>
      <c r="E58" s="13"/>
      <c r="F58" s="13"/>
      <c r="G58" s="14"/>
      <c r="H58" s="14"/>
      <c r="I58" s="14"/>
    </row>
    <row r="59" spans="1:248" s="9" customFormat="1" ht="54" customHeight="1">
      <c r="A59" s="8" t="s">
        <v>76</v>
      </c>
      <c r="B59" s="13" t="s">
        <v>67</v>
      </c>
      <c r="C59" s="13" t="s">
        <v>77</v>
      </c>
      <c r="D59" s="13" t="s">
        <v>38</v>
      </c>
      <c r="E59" s="13" t="s">
        <v>40</v>
      </c>
      <c r="F59" s="13" t="s">
        <v>57</v>
      </c>
      <c r="G59" s="14">
        <v>3013000</v>
      </c>
      <c r="H59" s="14">
        <v>591994.37</v>
      </c>
      <c r="I59" s="14">
        <f t="shared" si="0"/>
        <v>-2421005.63</v>
      </c>
    </row>
    <row r="60" spans="1:248" s="12" customFormat="1" ht="9.75" customHeight="1">
      <c r="A60" s="35" t="s">
        <v>136</v>
      </c>
      <c r="B60" s="24"/>
      <c r="C60" s="24"/>
      <c r="D60" s="24"/>
      <c r="E60" s="24"/>
      <c r="F60" s="24"/>
      <c r="G60" s="25">
        <f>G59</f>
        <v>3013000</v>
      </c>
      <c r="H60" s="25">
        <f>H59</f>
        <v>591994.37</v>
      </c>
      <c r="I60" s="25">
        <f>I59</f>
        <v>-2421005.63</v>
      </c>
    </row>
    <row r="61" spans="1:248" s="9" customFormat="1" ht="38.25">
      <c r="A61" s="8" t="s">
        <v>78</v>
      </c>
      <c r="B61" s="13" t="s">
        <v>67</v>
      </c>
      <c r="C61" s="13" t="s">
        <v>79</v>
      </c>
      <c r="D61" s="13" t="s">
        <v>43</v>
      </c>
      <c r="E61" s="13"/>
      <c r="F61" s="13"/>
      <c r="G61" s="14">
        <f>G62+G63+G64</f>
        <v>12000</v>
      </c>
      <c r="H61" s="14">
        <f>H62+H63+H64</f>
        <v>0</v>
      </c>
      <c r="I61" s="14">
        <f t="shared" si="0"/>
        <v>-12000</v>
      </c>
    </row>
    <row r="62" spans="1:248" s="9" customFormat="1" ht="38.25">
      <c r="A62" s="8" t="s">
        <v>44</v>
      </c>
      <c r="B62" s="13" t="s">
        <v>67</v>
      </c>
      <c r="C62" s="13" t="s">
        <v>79</v>
      </c>
      <c r="D62" s="13" t="s">
        <v>43</v>
      </c>
      <c r="E62" s="13" t="s">
        <v>45</v>
      </c>
      <c r="F62" s="13"/>
      <c r="G62" s="14">
        <v>3000</v>
      </c>
      <c r="H62" s="14"/>
      <c r="I62" s="14">
        <f t="shared" si="0"/>
        <v>-3000</v>
      </c>
    </row>
    <row r="63" spans="1:248" s="9" customFormat="1" ht="38.25">
      <c r="A63" s="8" t="s">
        <v>80</v>
      </c>
      <c r="B63" s="13" t="s">
        <v>67</v>
      </c>
      <c r="C63" s="13" t="s">
        <v>79</v>
      </c>
      <c r="D63" s="13" t="s">
        <v>43</v>
      </c>
      <c r="E63" s="13" t="s">
        <v>47</v>
      </c>
      <c r="F63" s="13"/>
      <c r="G63" s="14">
        <v>8000</v>
      </c>
      <c r="H63" s="14"/>
      <c r="I63" s="14">
        <f t="shared" si="0"/>
        <v>-8000</v>
      </c>
    </row>
    <row r="64" spans="1:248" s="9" customFormat="1" ht="12.75">
      <c r="A64" s="8" t="s">
        <v>54</v>
      </c>
      <c r="B64" s="13" t="s">
        <v>67</v>
      </c>
      <c r="C64" s="13" t="s">
        <v>79</v>
      </c>
      <c r="D64" s="13" t="s">
        <v>43</v>
      </c>
      <c r="E64" s="13" t="s">
        <v>55</v>
      </c>
      <c r="F64" s="13"/>
      <c r="G64" s="14">
        <v>1000</v>
      </c>
      <c r="H64" s="14"/>
      <c r="I64" s="14">
        <f t="shared" si="0"/>
        <v>-1000</v>
      </c>
    </row>
    <row r="65" spans="1:248" s="9" customFormat="1" ht="35.25" customHeight="1">
      <c r="A65" s="57" t="s">
        <v>81</v>
      </c>
      <c r="B65" s="13" t="s">
        <v>67</v>
      </c>
      <c r="C65" s="13" t="s">
        <v>79</v>
      </c>
      <c r="D65" s="13" t="s">
        <v>38</v>
      </c>
      <c r="E65" s="13"/>
      <c r="F65" s="13"/>
      <c r="G65" s="14">
        <f>G67+G66+G72+G73+G74+G75+G76</f>
        <v>24244000</v>
      </c>
      <c r="H65" s="14">
        <f>H67+H66+H72+H73+H74+H75+H76</f>
        <v>5987469.25</v>
      </c>
      <c r="I65" s="14">
        <f t="shared" si="0"/>
        <v>-18256530.75</v>
      </c>
    </row>
    <row r="66" spans="1:248" s="9" customFormat="1" ht="12.75">
      <c r="A66" s="8" t="s">
        <v>3</v>
      </c>
      <c r="B66" s="13" t="s">
        <v>67</v>
      </c>
      <c r="C66" s="13" t="s">
        <v>79</v>
      </c>
      <c r="D66" s="13" t="s">
        <v>38</v>
      </c>
      <c r="E66" s="13" t="s">
        <v>49</v>
      </c>
      <c r="F66" s="13"/>
      <c r="G66" s="14"/>
      <c r="H66" s="14"/>
      <c r="I66" s="14">
        <f>H66-G66</f>
        <v>0</v>
      </c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</row>
    <row r="67" spans="1:248" s="9" customFormat="1" ht="12.75">
      <c r="A67" s="8" t="s">
        <v>50</v>
      </c>
      <c r="B67" s="13" t="s">
        <v>67</v>
      </c>
      <c r="C67" s="13" t="s">
        <v>79</v>
      </c>
      <c r="D67" s="13" t="s">
        <v>38</v>
      </c>
      <c r="E67" s="13" t="s">
        <v>51</v>
      </c>
      <c r="F67" s="13"/>
      <c r="G67" s="14">
        <f>G68+G69+G70+G71</f>
        <v>22445000</v>
      </c>
      <c r="H67" s="14">
        <f>H68+H69+H70+H71</f>
        <v>5541539.8499999996</v>
      </c>
      <c r="I67" s="14">
        <f t="shared" si="0"/>
        <v>-16903460.149999999</v>
      </c>
    </row>
    <row r="68" spans="1:248" s="9" customFormat="1" ht="14.25">
      <c r="A68" s="16" t="s">
        <v>9</v>
      </c>
      <c r="B68" s="13"/>
      <c r="C68" s="13"/>
      <c r="D68" s="13"/>
      <c r="E68" s="13"/>
      <c r="F68" s="13"/>
      <c r="G68" s="17">
        <v>21225000</v>
      </c>
      <c r="H68" s="15">
        <v>4839657.5</v>
      </c>
      <c r="I68" s="14">
        <f t="shared" si="0"/>
        <v>-16385342.5</v>
      </c>
    </row>
    <row r="69" spans="1:248" s="9" customFormat="1" ht="14.25">
      <c r="A69" s="16" t="s">
        <v>10</v>
      </c>
      <c r="B69" s="13"/>
      <c r="C69" s="13"/>
      <c r="D69" s="13"/>
      <c r="E69" s="13"/>
      <c r="F69" s="13"/>
      <c r="G69" s="17">
        <v>1002000</v>
      </c>
      <c r="H69" s="15">
        <v>633011.27</v>
      </c>
      <c r="I69" s="14">
        <f t="shared" si="0"/>
        <v>-368988.73</v>
      </c>
    </row>
    <row r="70" spans="1:248" s="9" customFormat="1" ht="14.25">
      <c r="A70" s="16" t="s">
        <v>11</v>
      </c>
      <c r="B70" s="13"/>
      <c r="C70" s="13"/>
      <c r="D70" s="13"/>
      <c r="E70" s="13"/>
      <c r="F70" s="13"/>
      <c r="G70" s="17">
        <v>118000</v>
      </c>
      <c r="H70" s="15">
        <v>14284.59</v>
      </c>
      <c r="I70" s="14">
        <f t="shared" si="0"/>
        <v>-103715.41</v>
      </c>
    </row>
    <row r="71" spans="1:248" s="9" customFormat="1" ht="14.25">
      <c r="A71" s="16" t="s">
        <v>12</v>
      </c>
      <c r="B71" s="13"/>
      <c r="C71" s="13"/>
      <c r="D71" s="13"/>
      <c r="E71" s="13"/>
      <c r="F71" s="13"/>
      <c r="G71" s="17">
        <v>100000</v>
      </c>
      <c r="H71" s="15">
        <v>54586.49</v>
      </c>
      <c r="I71" s="14">
        <f t="shared" ref="I71:I109" si="1">H71-G71</f>
        <v>-45413.51</v>
      </c>
    </row>
    <row r="72" spans="1:248" s="9" customFormat="1" ht="12.75">
      <c r="A72" s="8" t="s">
        <v>52</v>
      </c>
      <c r="B72" s="13" t="s">
        <v>67</v>
      </c>
      <c r="C72" s="13" t="s">
        <v>79</v>
      </c>
      <c r="D72" s="13" t="s">
        <v>38</v>
      </c>
      <c r="E72" s="13" t="s">
        <v>53</v>
      </c>
      <c r="F72" s="13"/>
      <c r="G72" s="14">
        <f>471000-186000</f>
        <v>285000</v>
      </c>
      <c r="H72" s="14">
        <v>3337.15</v>
      </c>
      <c r="I72" s="14">
        <f t="shared" si="1"/>
        <v>-281662.84999999998</v>
      </c>
    </row>
    <row r="73" spans="1:248" s="9" customFormat="1" ht="12.75">
      <c r="A73" s="8" t="s">
        <v>54</v>
      </c>
      <c r="B73" s="13" t="s">
        <v>67</v>
      </c>
      <c r="C73" s="13" t="s">
        <v>79</v>
      </c>
      <c r="D73" s="13" t="s">
        <v>38</v>
      </c>
      <c r="E73" s="13" t="s">
        <v>55</v>
      </c>
      <c r="F73" s="13"/>
      <c r="G73" s="14">
        <f>174000</f>
        <v>174000</v>
      </c>
      <c r="H73" s="14">
        <v>48885.48</v>
      </c>
      <c r="I73" s="14">
        <f t="shared" si="1"/>
        <v>-125114.51999999999</v>
      </c>
    </row>
    <row r="74" spans="1:248" s="9" customFormat="1" ht="12.75">
      <c r="A74" s="8" t="s">
        <v>16</v>
      </c>
      <c r="B74" s="13" t="s">
        <v>67</v>
      </c>
      <c r="C74" s="13" t="s">
        <v>79</v>
      </c>
      <c r="D74" s="13" t="s">
        <v>38</v>
      </c>
      <c r="E74" s="13" t="s">
        <v>62</v>
      </c>
      <c r="F74" s="13"/>
      <c r="G74" s="14">
        <v>30000</v>
      </c>
      <c r="H74" s="14"/>
      <c r="I74" s="14">
        <f t="shared" si="1"/>
        <v>-30000</v>
      </c>
    </row>
    <row r="75" spans="1:248" s="9" customFormat="1" ht="12.75">
      <c r="A75" s="8" t="s">
        <v>6</v>
      </c>
      <c r="B75" s="13" t="s">
        <v>67</v>
      </c>
      <c r="C75" s="13" t="s">
        <v>79</v>
      </c>
      <c r="D75" s="13" t="s">
        <v>38</v>
      </c>
      <c r="E75" s="13" t="s">
        <v>39</v>
      </c>
      <c r="F75" s="13"/>
      <c r="G75" s="14">
        <f>3000</f>
        <v>3000</v>
      </c>
      <c r="H75" s="14">
        <v>2699</v>
      </c>
      <c r="I75" s="14">
        <f t="shared" si="1"/>
        <v>-301</v>
      </c>
    </row>
    <row r="76" spans="1:248" s="9" customFormat="1" ht="12.75">
      <c r="A76" s="8" t="s">
        <v>7</v>
      </c>
      <c r="B76" s="13" t="s">
        <v>67</v>
      </c>
      <c r="C76" s="13" t="s">
        <v>79</v>
      </c>
      <c r="D76" s="13" t="s">
        <v>38</v>
      </c>
      <c r="E76" s="13" t="s">
        <v>40</v>
      </c>
      <c r="F76" s="13"/>
      <c r="G76" s="14">
        <f>G77+G78+G79+G80+G81</f>
        <v>1307000</v>
      </c>
      <c r="H76" s="14">
        <f>H77+H78+H79+H80+H81</f>
        <v>391007.77</v>
      </c>
      <c r="I76" s="14">
        <f t="shared" si="1"/>
        <v>-915992.23</v>
      </c>
    </row>
    <row r="77" spans="1:248" s="9" customFormat="1" ht="12.75">
      <c r="A77" s="52" t="s">
        <v>82</v>
      </c>
      <c r="B77" s="13" t="s">
        <v>67</v>
      </c>
      <c r="C77" s="13" t="s">
        <v>79</v>
      </c>
      <c r="D77" s="13" t="s">
        <v>38</v>
      </c>
      <c r="E77" s="13" t="s">
        <v>40</v>
      </c>
      <c r="F77" s="13" t="s">
        <v>83</v>
      </c>
      <c r="G77" s="14"/>
      <c r="H77" s="14"/>
      <c r="I77" s="14">
        <f t="shared" si="1"/>
        <v>0</v>
      </c>
    </row>
    <row r="78" spans="1:248" s="9" customFormat="1" ht="12.75">
      <c r="A78" s="52" t="s">
        <v>56</v>
      </c>
      <c r="B78" s="13" t="s">
        <v>67</v>
      </c>
      <c r="C78" s="13" t="s">
        <v>79</v>
      </c>
      <c r="D78" s="13" t="s">
        <v>38</v>
      </c>
      <c r="E78" s="13" t="s">
        <v>40</v>
      </c>
      <c r="F78" s="13" t="s">
        <v>57</v>
      </c>
      <c r="G78" s="14">
        <f>988000+212000</f>
        <v>1200000</v>
      </c>
      <c r="H78" s="14">
        <v>391007.77</v>
      </c>
      <c r="I78" s="14">
        <f t="shared" si="1"/>
        <v>-808992.23</v>
      </c>
    </row>
    <row r="79" spans="1:248" s="9" customFormat="1" ht="12.75">
      <c r="A79" s="52" t="s">
        <v>58</v>
      </c>
      <c r="B79" s="13" t="s">
        <v>67</v>
      </c>
      <c r="C79" s="13" t="s">
        <v>79</v>
      </c>
      <c r="D79" s="13" t="s">
        <v>38</v>
      </c>
      <c r="E79" s="13" t="s">
        <v>40</v>
      </c>
      <c r="F79" s="13" t="s">
        <v>59</v>
      </c>
      <c r="G79" s="14">
        <v>77000</v>
      </c>
      <c r="H79" s="14"/>
      <c r="I79" s="14">
        <f t="shared" si="1"/>
        <v>-77000</v>
      </c>
    </row>
    <row r="80" spans="1:248" s="9" customFormat="1" ht="12.75">
      <c r="A80" s="52" t="s">
        <v>84</v>
      </c>
      <c r="B80" s="13" t="s">
        <v>67</v>
      </c>
      <c r="C80" s="13" t="s">
        <v>79</v>
      </c>
      <c r="D80" s="13" t="s">
        <v>38</v>
      </c>
      <c r="E80" s="13" t="s">
        <v>40</v>
      </c>
      <c r="F80" s="13" t="s">
        <v>85</v>
      </c>
      <c r="G80" s="14"/>
      <c r="H80" s="14"/>
      <c r="I80" s="14">
        <f>H80-G80</f>
        <v>0</v>
      </c>
    </row>
    <row r="81" spans="1:9">
      <c r="A81" s="52" t="s">
        <v>12</v>
      </c>
      <c r="B81" s="13" t="s">
        <v>67</v>
      </c>
      <c r="C81" s="13" t="s">
        <v>79</v>
      </c>
      <c r="D81" s="13" t="s">
        <v>38</v>
      </c>
      <c r="E81" s="13" t="s">
        <v>40</v>
      </c>
      <c r="F81" s="13" t="s">
        <v>41</v>
      </c>
      <c r="G81" s="14">
        <f>60000-4000-26000</f>
        <v>30000</v>
      </c>
      <c r="H81" s="14"/>
      <c r="I81" s="14">
        <f>H81-G81</f>
        <v>-30000</v>
      </c>
    </row>
    <row r="82" spans="1:9" s="9" customFormat="1" ht="25.5">
      <c r="A82" s="8" t="s">
        <v>60</v>
      </c>
      <c r="B82" s="13" t="s">
        <v>67</v>
      </c>
      <c r="C82" s="13" t="s">
        <v>79</v>
      </c>
      <c r="D82" s="13" t="s">
        <v>61</v>
      </c>
      <c r="E82" s="13" t="s">
        <v>62</v>
      </c>
      <c r="F82" s="13"/>
      <c r="G82" s="14">
        <v>2291000</v>
      </c>
      <c r="H82" s="14">
        <v>382875</v>
      </c>
      <c r="I82" s="14">
        <f t="shared" si="1"/>
        <v>-1908125</v>
      </c>
    </row>
    <row r="83" spans="1:9" s="9" customFormat="1" ht="12.75">
      <c r="A83" s="8" t="s">
        <v>63</v>
      </c>
      <c r="B83" s="13" t="s">
        <v>67</v>
      </c>
      <c r="C83" s="13" t="s">
        <v>79</v>
      </c>
      <c r="D83" s="13" t="s">
        <v>64</v>
      </c>
      <c r="E83" s="13" t="s">
        <v>62</v>
      </c>
      <c r="F83" s="13"/>
      <c r="G83" s="14">
        <v>47000</v>
      </c>
      <c r="H83" s="14">
        <v>18122.560000000001</v>
      </c>
      <c r="I83" s="14">
        <f t="shared" si="1"/>
        <v>-28877.439999999999</v>
      </c>
    </row>
    <row r="84" spans="1:9" s="12" customFormat="1" ht="12.75">
      <c r="A84" s="35" t="s">
        <v>136</v>
      </c>
      <c r="B84" s="24"/>
      <c r="C84" s="24"/>
      <c r="D84" s="24"/>
      <c r="E84" s="24"/>
      <c r="F84" s="24"/>
      <c r="G84" s="58">
        <f>G83+G82+G65+G61</f>
        <v>26594000</v>
      </c>
      <c r="H84" s="58">
        <f>H83+H82+H65+H61</f>
        <v>6388466.8099999996</v>
      </c>
      <c r="I84" s="25">
        <f t="shared" si="1"/>
        <v>-20205533.190000001</v>
      </c>
    </row>
    <row r="85" spans="1:9" s="9" customFormat="1" ht="15" customHeight="1">
      <c r="A85" s="8"/>
      <c r="B85" s="189" t="s">
        <v>18</v>
      </c>
      <c r="C85" s="189"/>
      <c r="D85" s="189"/>
      <c r="E85" s="189"/>
      <c r="F85" s="189"/>
      <c r="G85" s="190" t="s">
        <v>19</v>
      </c>
      <c r="H85" s="190" t="s">
        <v>20</v>
      </c>
      <c r="I85" s="190" t="s">
        <v>21</v>
      </c>
    </row>
    <row r="86" spans="1:9" s="9" customFormat="1" ht="77.25" customHeight="1">
      <c r="A86" s="8"/>
      <c r="B86" s="46" t="s">
        <v>22</v>
      </c>
      <c r="C86" s="46" t="s">
        <v>23</v>
      </c>
      <c r="D86" s="46" t="s">
        <v>24</v>
      </c>
      <c r="E86" s="46" t="s">
        <v>25</v>
      </c>
      <c r="F86" s="46" t="s">
        <v>26</v>
      </c>
      <c r="G86" s="191"/>
      <c r="H86" s="191"/>
      <c r="I86" s="191"/>
    </row>
    <row r="87" spans="1:9" s="9" customFormat="1" ht="38.25">
      <c r="A87" s="8" t="s">
        <v>86</v>
      </c>
      <c r="B87" s="13" t="s">
        <v>67</v>
      </c>
      <c r="C87" s="13" t="s">
        <v>87</v>
      </c>
      <c r="D87" s="13" t="s">
        <v>38</v>
      </c>
      <c r="E87" s="13" t="s">
        <v>40</v>
      </c>
      <c r="F87" s="13" t="s">
        <v>88</v>
      </c>
      <c r="G87" s="14">
        <v>2100000</v>
      </c>
      <c r="H87" s="14">
        <v>330408.8</v>
      </c>
      <c r="I87" s="14">
        <f t="shared" si="1"/>
        <v>-1769591.2</v>
      </c>
    </row>
    <row r="88" spans="1:9" s="12" customFormat="1" ht="12.75">
      <c r="A88" s="35" t="s">
        <v>136</v>
      </c>
      <c r="B88" s="24"/>
      <c r="C88" s="24"/>
      <c r="D88" s="24"/>
      <c r="E88" s="24"/>
      <c r="F88" s="24"/>
      <c r="G88" s="25">
        <f>G87</f>
        <v>2100000</v>
      </c>
      <c r="H88" s="25">
        <f>H87</f>
        <v>330408.8</v>
      </c>
      <c r="I88" s="25">
        <f>I87</f>
        <v>-1769591.2</v>
      </c>
    </row>
    <row r="89" spans="1:9" s="12" customFormat="1" ht="12.75">
      <c r="A89" s="48" t="s">
        <v>89</v>
      </c>
      <c r="B89" s="59"/>
      <c r="C89" s="59"/>
      <c r="D89" s="24"/>
      <c r="E89" s="24"/>
      <c r="F89" s="24"/>
      <c r="G89" s="25"/>
      <c r="H89" s="25"/>
      <c r="I89" s="14"/>
    </row>
    <row r="90" spans="1:9" s="9" customFormat="1" ht="45.75" customHeight="1">
      <c r="A90" s="8" t="s">
        <v>90</v>
      </c>
      <c r="B90" s="13" t="s">
        <v>67</v>
      </c>
      <c r="C90" s="13" t="s">
        <v>91</v>
      </c>
      <c r="D90" s="13" t="s">
        <v>31</v>
      </c>
      <c r="E90" s="13"/>
      <c r="F90" s="13"/>
      <c r="G90" s="14">
        <f>G91+G92</f>
        <v>4903000</v>
      </c>
      <c r="H90" s="14">
        <f>H91+H92</f>
        <v>502727.35</v>
      </c>
      <c r="I90" s="14">
        <f t="shared" si="1"/>
        <v>-4400272.6500000004</v>
      </c>
    </row>
    <row r="91" spans="1:9" s="9" customFormat="1" ht="28.5" customHeight="1">
      <c r="A91" s="8" t="s">
        <v>32</v>
      </c>
      <c r="B91" s="13" t="s">
        <v>67</v>
      </c>
      <c r="C91" s="13" t="s">
        <v>91</v>
      </c>
      <c r="D91" s="13" t="s">
        <v>31</v>
      </c>
      <c r="E91" s="13" t="s">
        <v>33</v>
      </c>
      <c r="F91" s="13"/>
      <c r="G91" s="14">
        <v>3766000</v>
      </c>
      <c r="H91" s="14">
        <v>409154.86</v>
      </c>
      <c r="I91" s="14">
        <f t="shared" si="1"/>
        <v>-3356845.14</v>
      </c>
    </row>
    <row r="92" spans="1:9" s="9" customFormat="1" ht="39.75" customHeight="1">
      <c r="A92" s="8" t="s">
        <v>34</v>
      </c>
      <c r="B92" s="13" t="s">
        <v>67</v>
      </c>
      <c r="C92" s="13" t="s">
        <v>91</v>
      </c>
      <c r="D92" s="13" t="s">
        <v>31</v>
      </c>
      <c r="E92" s="13" t="s">
        <v>35</v>
      </c>
      <c r="F92" s="13"/>
      <c r="G92" s="14">
        <v>1137000</v>
      </c>
      <c r="H92" s="14">
        <v>93572.49</v>
      </c>
      <c r="I92" s="14">
        <f t="shared" si="1"/>
        <v>-1043427.51</v>
      </c>
    </row>
    <row r="93" spans="1:9" s="9" customFormat="1" ht="12.75">
      <c r="A93" s="8" t="s">
        <v>71</v>
      </c>
      <c r="B93" s="13" t="s">
        <v>67</v>
      </c>
      <c r="C93" s="13" t="s">
        <v>91</v>
      </c>
      <c r="D93" s="13" t="s">
        <v>38</v>
      </c>
      <c r="E93" s="13"/>
      <c r="F93" s="13"/>
      <c r="G93" s="14">
        <f>G94+G95+G101+G104+G100</f>
        <v>628900</v>
      </c>
      <c r="H93" s="14">
        <f>H94+H95+H101+H104+H100</f>
        <v>100206.37999999999</v>
      </c>
      <c r="I93" s="14">
        <f t="shared" si="1"/>
        <v>-528693.62</v>
      </c>
    </row>
    <row r="94" spans="1:9" s="9" customFormat="1" ht="12.75">
      <c r="A94" s="8" t="s">
        <v>3</v>
      </c>
      <c r="B94" s="13" t="s">
        <v>67</v>
      </c>
      <c r="C94" s="13" t="s">
        <v>91</v>
      </c>
      <c r="D94" s="13" t="s">
        <v>38</v>
      </c>
      <c r="E94" s="13" t="s">
        <v>49</v>
      </c>
      <c r="F94" s="13"/>
      <c r="G94" s="14">
        <v>27000</v>
      </c>
      <c r="H94" s="14">
        <v>4991.6499999999996</v>
      </c>
      <c r="I94" s="14">
        <f t="shared" si="1"/>
        <v>-22008.35</v>
      </c>
    </row>
    <row r="95" spans="1:9" s="9" customFormat="1" ht="12.75">
      <c r="A95" s="8" t="s">
        <v>50</v>
      </c>
      <c r="B95" s="13" t="s">
        <v>67</v>
      </c>
      <c r="C95" s="13" t="s">
        <v>91</v>
      </c>
      <c r="D95" s="13" t="s">
        <v>38</v>
      </c>
      <c r="E95" s="13" t="s">
        <v>51</v>
      </c>
      <c r="F95" s="13"/>
      <c r="G95" s="14">
        <f>G96+G97+G98+G99</f>
        <v>538000</v>
      </c>
      <c r="H95" s="14">
        <f>H96+H97+H98+H99</f>
        <v>95214.73</v>
      </c>
      <c r="I95" s="14">
        <f t="shared" si="1"/>
        <v>-442785.27</v>
      </c>
    </row>
    <row r="96" spans="1:9" s="9" customFormat="1" ht="14.25">
      <c r="A96" s="16" t="s">
        <v>9</v>
      </c>
      <c r="B96" s="13"/>
      <c r="C96" s="13"/>
      <c r="D96" s="13"/>
      <c r="E96" s="13"/>
      <c r="F96" s="13"/>
      <c r="G96" s="17">
        <v>515500</v>
      </c>
      <c r="H96" s="15">
        <v>88015.42</v>
      </c>
      <c r="I96" s="14">
        <f t="shared" si="1"/>
        <v>-427484.58</v>
      </c>
    </row>
    <row r="97" spans="1:9" s="9" customFormat="1" ht="14.25">
      <c r="A97" s="16" t="s">
        <v>10</v>
      </c>
      <c r="B97" s="13"/>
      <c r="C97" s="13"/>
      <c r="D97" s="13"/>
      <c r="E97" s="13"/>
      <c r="F97" s="13"/>
      <c r="G97" s="17">
        <v>22500</v>
      </c>
      <c r="H97" s="15">
        <v>7199.31</v>
      </c>
      <c r="I97" s="14">
        <f t="shared" si="1"/>
        <v>-15300.689999999999</v>
      </c>
    </row>
    <row r="98" spans="1:9" s="9" customFormat="1" ht="14.25">
      <c r="A98" s="16" t="s">
        <v>11</v>
      </c>
      <c r="B98" s="13"/>
      <c r="C98" s="13"/>
      <c r="D98" s="13"/>
      <c r="E98" s="13"/>
      <c r="F98" s="13"/>
      <c r="G98" s="17"/>
      <c r="H98" s="15"/>
      <c r="I98" s="14">
        <f t="shared" si="1"/>
        <v>0</v>
      </c>
    </row>
    <row r="99" spans="1:9" s="9" customFormat="1" ht="14.25">
      <c r="A99" s="16" t="s">
        <v>12</v>
      </c>
      <c r="B99" s="13"/>
      <c r="C99" s="13"/>
      <c r="D99" s="13"/>
      <c r="E99" s="13"/>
      <c r="F99" s="13"/>
      <c r="G99" s="17"/>
      <c r="H99" s="15"/>
      <c r="I99" s="14">
        <f t="shared" si="1"/>
        <v>0</v>
      </c>
    </row>
    <row r="100" spans="1:9" s="9" customFormat="1" ht="12.75">
      <c r="A100" s="8" t="s">
        <v>52</v>
      </c>
      <c r="B100" s="13" t="s">
        <v>67</v>
      </c>
      <c r="C100" s="13" t="s">
        <v>91</v>
      </c>
      <c r="D100" s="13" t="s">
        <v>38</v>
      </c>
      <c r="E100" s="13" t="s">
        <v>53</v>
      </c>
      <c r="F100" s="13"/>
      <c r="G100" s="14">
        <f>12000</f>
        <v>12000</v>
      </c>
      <c r="H100" s="14"/>
      <c r="I100" s="14">
        <f t="shared" si="1"/>
        <v>-12000</v>
      </c>
    </row>
    <row r="101" spans="1:9" s="9" customFormat="1" ht="12.75">
      <c r="A101" s="8" t="s">
        <v>16</v>
      </c>
      <c r="B101" s="13" t="s">
        <v>67</v>
      </c>
      <c r="C101" s="13" t="s">
        <v>91</v>
      </c>
      <c r="D101" s="13" t="s">
        <v>38</v>
      </c>
      <c r="E101" s="13" t="s">
        <v>62</v>
      </c>
      <c r="F101" s="13"/>
      <c r="G101" s="14">
        <v>10000</v>
      </c>
      <c r="H101" s="14"/>
      <c r="I101" s="14">
        <f t="shared" si="1"/>
        <v>-10000</v>
      </c>
    </row>
    <row r="102" spans="1:9" s="9" customFormat="1" ht="12.75">
      <c r="A102" s="8" t="s">
        <v>7</v>
      </c>
      <c r="B102" s="13" t="s">
        <v>67</v>
      </c>
      <c r="C102" s="13" t="s">
        <v>91</v>
      </c>
      <c r="D102" s="13" t="s">
        <v>38</v>
      </c>
      <c r="E102" s="13" t="s">
        <v>40</v>
      </c>
      <c r="F102" s="13"/>
      <c r="G102" s="14">
        <f>G103+G104</f>
        <v>41900</v>
      </c>
      <c r="H102" s="14">
        <f>H103+H104</f>
        <v>0</v>
      </c>
      <c r="I102" s="14">
        <f>I103+I104</f>
        <v>-41900</v>
      </c>
    </row>
    <row r="103" spans="1:9" s="9" customFormat="1" ht="12.75">
      <c r="A103" s="52" t="s">
        <v>84</v>
      </c>
      <c r="B103" s="13" t="s">
        <v>67</v>
      </c>
      <c r="C103" s="13" t="s">
        <v>91</v>
      </c>
      <c r="D103" s="13" t="s">
        <v>38</v>
      </c>
      <c r="E103" s="13" t="s">
        <v>40</v>
      </c>
      <c r="F103" s="13" t="s">
        <v>85</v>
      </c>
      <c r="G103" s="14"/>
      <c r="H103" s="14"/>
      <c r="I103" s="14"/>
    </row>
    <row r="104" spans="1:9" s="9" customFormat="1" ht="12.75">
      <c r="A104" s="52" t="s">
        <v>12</v>
      </c>
      <c r="B104" s="13" t="s">
        <v>67</v>
      </c>
      <c r="C104" s="13" t="s">
        <v>91</v>
      </c>
      <c r="D104" s="13" t="s">
        <v>38</v>
      </c>
      <c r="E104" s="13" t="s">
        <v>40</v>
      </c>
      <c r="F104" s="13" t="s">
        <v>41</v>
      </c>
      <c r="G104" s="14">
        <f>54000-12100</f>
        <v>41900</v>
      </c>
      <c r="H104" s="14"/>
      <c r="I104" s="14">
        <f t="shared" si="1"/>
        <v>-41900</v>
      </c>
    </row>
    <row r="105" spans="1:9" s="9" customFormat="1" ht="12.75">
      <c r="A105" s="8" t="s">
        <v>147</v>
      </c>
      <c r="B105" s="13" t="s">
        <v>67</v>
      </c>
      <c r="C105" s="13" t="s">
        <v>91</v>
      </c>
      <c r="D105" s="13" t="s">
        <v>148</v>
      </c>
      <c r="E105" s="13" t="s">
        <v>62</v>
      </c>
      <c r="F105" s="13"/>
      <c r="G105" s="14">
        <f>100</f>
        <v>100</v>
      </c>
      <c r="H105" s="14">
        <v>100</v>
      </c>
      <c r="I105" s="14">
        <f>H105-G105</f>
        <v>0</v>
      </c>
    </row>
    <row r="106" spans="1:9" s="9" customFormat="1" ht="12.75">
      <c r="A106" s="8" t="s">
        <v>63</v>
      </c>
      <c r="B106" s="13" t="s">
        <v>67</v>
      </c>
      <c r="C106" s="13" t="s">
        <v>91</v>
      </c>
      <c r="D106" s="13" t="s">
        <v>64</v>
      </c>
      <c r="E106" s="13" t="s">
        <v>62</v>
      </c>
      <c r="F106" s="13"/>
      <c r="G106" s="14">
        <v>43000</v>
      </c>
      <c r="H106" s="14">
        <v>247.66</v>
      </c>
      <c r="I106" s="14">
        <f t="shared" si="1"/>
        <v>-42752.34</v>
      </c>
    </row>
    <row r="107" spans="1:9" s="12" customFormat="1" ht="12.75">
      <c r="A107" s="35" t="s">
        <v>136</v>
      </c>
      <c r="B107" s="24"/>
      <c r="C107" s="24"/>
      <c r="D107" s="24"/>
      <c r="E107" s="24"/>
      <c r="F107" s="24"/>
      <c r="G107" s="25">
        <f>G106+G93+G90+G105</f>
        <v>5575000</v>
      </c>
      <c r="H107" s="25">
        <f>H106+H93+H90+H105</f>
        <v>603281.39</v>
      </c>
      <c r="I107" s="25">
        <f t="shared" si="1"/>
        <v>-4971718.6100000003</v>
      </c>
    </row>
    <row r="108" spans="1:9" s="12" customFormat="1" ht="51">
      <c r="A108" s="60" t="s">
        <v>74</v>
      </c>
      <c r="B108" s="13" t="s">
        <v>92</v>
      </c>
      <c r="C108" s="13" t="s">
        <v>75</v>
      </c>
      <c r="D108" s="13" t="s">
        <v>43</v>
      </c>
      <c r="E108" s="24"/>
      <c r="F108" s="24"/>
      <c r="G108" s="14">
        <f>G109+G110+G111</f>
        <v>269000</v>
      </c>
      <c r="H108" s="14">
        <f>H109+H110+H111</f>
        <v>33000</v>
      </c>
      <c r="I108" s="14">
        <f t="shared" si="1"/>
        <v>-236000</v>
      </c>
    </row>
    <row r="109" spans="1:9" s="9" customFormat="1" ht="12.75">
      <c r="A109" s="8" t="s">
        <v>93</v>
      </c>
      <c r="B109" s="13" t="s">
        <v>92</v>
      </c>
      <c r="C109" s="13" t="s">
        <v>75</v>
      </c>
      <c r="D109" s="13" t="s">
        <v>43</v>
      </c>
      <c r="E109" s="13" t="s">
        <v>45</v>
      </c>
      <c r="F109" s="13"/>
      <c r="G109" s="14">
        <v>20000</v>
      </c>
      <c r="H109" s="14"/>
      <c r="I109" s="14">
        <f t="shared" si="1"/>
        <v>-20000</v>
      </c>
    </row>
    <row r="110" spans="1:9" s="9" customFormat="1" ht="12.75">
      <c r="A110" s="8" t="s">
        <v>94</v>
      </c>
      <c r="B110" s="13" t="s">
        <v>92</v>
      </c>
      <c r="C110" s="13" t="s">
        <v>75</v>
      </c>
      <c r="D110" s="13" t="s">
        <v>43</v>
      </c>
      <c r="E110" s="13" t="s">
        <v>47</v>
      </c>
      <c r="F110" s="13"/>
      <c r="G110" s="14">
        <v>30000</v>
      </c>
      <c r="H110" s="14"/>
      <c r="I110" s="14">
        <f>H110-G110</f>
        <v>-30000</v>
      </c>
    </row>
    <row r="111" spans="1:9" s="9" customFormat="1" ht="12.75">
      <c r="A111" s="8" t="s">
        <v>95</v>
      </c>
      <c r="B111" s="13" t="s">
        <v>92</v>
      </c>
      <c r="C111" s="13" t="s">
        <v>75</v>
      </c>
      <c r="D111" s="13" t="s">
        <v>43</v>
      </c>
      <c r="E111" s="13" t="s">
        <v>55</v>
      </c>
      <c r="F111" s="13"/>
      <c r="G111" s="61">
        <v>219000</v>
      </c>
      <c r="H111" s="61">
        <v>33000</v>
      </c>
      <c r="I111" s="61">
        <f>H111-G111</f>
        <v>-186000</v>
      </c>
    </row>
    <row r="112" spans="1:9" s="12" customFormat="1" ht="12.75">
      <c r="A112" s="35" t="s">
        <v>136</v>
      </c>
      <c r="B112" s="62"/>
      <c r="C112" s="24"/>
      <c r="D112" s="24"/>
      <c r="E112" s="24"/>
      <c r="F112" s="24"/>
      <c r="G112" s="63">
        <f>G108</f>
        <v>269000</v>
      </c>
      <c r="H112" s="63">
        <f>H108</f>
        <v>33000</v>
      </c>
      <c r="I112" s="63">
        <f>H112-G112</f>
        <v>-236000</v>
      </c>
    </row>
    <row r="113" spans="1:9" s="9" customFormat="1" ht="18.75" customHeight="1">
      <c r="A113" s="64" t="s">
        <v>96</v>
      </c>
      <c r="B113" s="65"/>
      <c r="C113" s="46"/>
      <c r="D113" s="46"/>
      <c r="E113" s="46"/>
      <c r="F113" s="46"/>
      <c r="G113" s="47"/>
      <c r="H113" s="47"/>
      <c r="I113" s="47"/>
    </row>
    <row r="114" spans="1:9" s="9" customFormat="1" ht="76.5" customHeight="1">
      <c r="A114" s="8" t="s">
        <v>97</v>
      </c>
      <c r="B114" s="66" t="s">
        <v>98</v>
      </c>
      <c r="C114" s="13" t="s">
        <v>99</v>
      </c>
      <c r="D114" s="13" t="s">
        <v>100</v>
      </c>
      <c r="E114" s="13"/>
      <c r="F114" s="13"/>
      <c r="G114" s="14">
        <f>G115+G116</f>
        <v>553000</v>
      </c>
      <c r="H114" s="14">
        <f>H115+H116</f>
        <v>62267.850000000006</v>
      </c>
      <c r="I114" s="14">
        <f t="shared" ref="I114:I148" si="2">H114-G114</f>
        <v>-490732.15</v>
      </c>
    </row>
    <row r="115" spans="1:9" s="9" customFormat="1" ht="23.25" customHeight="1">
      <c r="A115" s="8" t="s">
        <v>101</v>
      </c>
      <c r="B115" s="66" t="s">
        <v>98</v>
      </c>
      <c r="C115" s="13" t="s">
        <v>99</v>
      </c>
      <c r="D115" s="13" t="s">
        <v>100</v>
      </c>
      <c r="E115" s="13" t="s">
        <v>33</v>
      </c>
      <c r="F115" s="13"/>
      <c r="G115" s="14">
        <v>425000</v>
      </c>
      <c r="H115" s="14">
        <v>51441.3</v>
      </c>
      <c r="I115" s="14">
        <f t="shared" si="2"/>
        <v>-373558.7</v>
      </c>
    </row>
    <row r="116" spans="1:9" s="9" customFormat="1" ht="27" customHeight="1">
      <c r="A116" s="8" t="s">
        <v>102</v>
      </c>
      <c r="B116" s="66" t="s">
        <v>98</v>
      </c>
      <c r="C116" s="13" t="s">
        <v>99</v>
      </c>
      <c r="D116" s="13" t="s">
        <v>100</v>
      </c>
      <c r="E116" s="13" t="s">
        <v>35</v>
      </c>
      <c r="F116" s="13"/>
      <c r="G116" s="14">
        <v>128000</v>
      </c>
      <c r="H116" s="14">
        <v>10826.55</v>
      </c>
      <c r="I116" s="14">
        <f t="shared" si="2"/>
        <v>-117173.45</v>
      </c>
    </row>
    <row r="117" spans="1:9" s="12" customFormat="1" ht="17.25" customHeight="1">
      <c r="A117" s="35" t="s">
        <v>136</v>
      </c>
      <c r="B117" s="62"/>
      <c r="C117" s="24"/>
      <c r="D117" s="24"/>
      <c r="E117" s="24"/>
      <c r="F117" s="24"/>
      <c r="G117" s="25">
        <f>G114</f>
        <v>553000</v>
      </c>
      <c r="H117" s="25">
        <f>H114</f>
        <v>62267.850000000006</v>
      </c>
      <c r="I117" s="25">
        <f t="shared" si="2"/>
        <v>-490732.15</v>
      </c>
    </row>
    <row r="118" spans="1:9" s="9" customFormat="1" ht="65.25" customHeight="1">
      <c r="A118" s="26" t="s">
        <v>103</v>
      </c>
      <c r="B118" s="13" t="s">
        <v>98</v>
      </c>
      <c r="C118" s="13" t="s">
        <v>104</v>
      </c>
      <c r="D118" s="13" t="s">
        <v>100</v>
      </c>
      <c r="E118" s="13"/>
      <c r="F118" s="13"/>
      <c r="G118" s="14">
        <f>G119+G120</f>
        <v>917000</v>
      </c>
      <c r="H118" s="14">
        <f>H119+H120</f>
        <v>91051.06</v>
      </c>
      <c r="I118" s="14">
        <f t="shared" si="2"/>
        <v>-825948.94</v>
      </c>
    </row>
    <row r="119" spans="1:9" s="9" customFormat="1" ht="21.75" customHeight="1">
      <c r="A119" s="8" t="s">
        <v>101</v>
      </c>
      <c r="B119" s="13" t="s">
        <v>98</v>
      </c>
      <c r="C119" s="13" t="s">
        <v>104</v>
      </c>
      <c r="D119" s="13" t="s">
        <v>100</v>
      </c>
      <c r="E119" s="13" t="s">
        <v>33</v>
      </c>
      <c r="F119" s="13"/>
      <c r="G119" s="14">
        <v>704000</v>
      </c>
      <c r="H119" s="14">
        <v>91051.06</v>
      </c>
      <c r="I119" s="14">
        <f t="shared" si="2"/>
        <v>-612948.93999999994</v>
      </c>
    </row>
    <row r="120" spans="1:9" s="9" customFormat="1" ht="22.5" customHeight="1">
      <c r="A120" s="8" t="s">
        <v>102</v>
      </c>
      <c r="B120" s="13" t="s">
        <v>98</v>
      </c>
      <c r="C120" s="13" t="s">
        <v>104</v>
      </c>
      <c r="D120" s="13" t="s">
        <v>100</v>
      </c>
      <c r="E120" s="13" t="s">
        <v>35</v>
      </c>
      <c r="F120" s="13"/>
      <c r="G120" s="14">
        <v>213000</v>
      </c>
      <c r="H120" s="14"/>
      <c r="I120" s="14">
        <f t="shared" si="2"/>
        <v>-213000</v>
      </c>
    </row>
    <row r="121" spans="1:9" s="12" customFormat="1" ht="12.75" customHeight="1">
      <c r="A121" s="35" t="s">
        <v>136</v>
      </c>
      <c r="B121" s="62"/>
      <c r="C121" s="24"/>
      <c r="D121" s="24"/>
      <c r="E121" s="24"/>
      <c r="F121" s="24"/>
      <c r="G121" s="25">
        <f>G118</f>
        <v>917000</v>
      </c>
      <c r="H121" s="25">
        <f>H118</f>
        <v>91051.06</v>
      </c>
      <c r="I121" s="25">
        <f>H121-G121</f>
        <v>-825948.94</v>
      </c>
    </row>
    <row r="122" spans="1:9" s="9" customFormat="1" ht="15" customHeight="1">
      <c r="A122" s="8"/>
      <c r="B122" s="189" t="s">
        <v>18</v>
      </c>
      <c r="C122" s="189"/>
      <c r="D122" s="189"/>
      <c r="E122" s="189"/>
      <c r="F122" s="189"/>
      <c r="G122" s="190" t="s">
        <v>19</v>
      </c>
      <c r="H122" s="190" t="s">
        <v>20</v>
      </c>
      <c r="I122" s="190" t="s">
        <v>21</v>
      </c>
    </row>
    <row r="123" spans="1:9" s="9" customFormat="1" ht="77.25" customHeight="1">
      <c r="A123" s="8"/>
      <c r="B123" s="46" t="s">
        <v>22</v>
      </c>
      <c r="C123" s="46" t="s">
        <v>23</v>
      </c>
      <c r="D123" s="46" t="s">
        <v>24</v>
      </c>
      <c r="E123" s="46" t="s">
        <v>25</v>
      </c>
      <c r="F123" s="46" t="s">
        <v>26</v>
      </c>
      <c r="G123" s="191"/>
      <c r="H123" s="191"/>
      <c r="I123" s="191"/>
    </row>
    <row r="124" spans="1:9" s="12" customFormat="1" ht="20.25" customHeight="1">
      <c r="A124" s="27" t="s">
        <v>105</v>
      </c>
      <c r="B124" s="24"/>
      <c r="C124" s="24"/>
      <c r="D124" s="24"/>
      <c r="E124" s="24"/>
      <c r="F124" s="24"/>
      <c r="G124" s="25"/>
      <c r="H124" s="25"/>
      <c r="I124" s="25"/>
    </row>
    <row r="125" spans="1:9" s="9" customFormat="1" ht="45.75" customHeight="1">
      <c r="A125" s="8" t="s">
        <v>90</v>
      </c>
      <c r="B125" s="13" t="s">
        <v>98</v>
      </c>
      <c r="C125" s="13" t="s">
        <v>106</v>
      </c>
      <c r="D125" s="13" t="s">
        <v>31</v>
      </c>
      <c r="E125" s="13"/>
      <c r="F125" s="13"/>
      <c r="G125" s="14">
        <f>G126+G127</f>
        <v>8707000</v>
      </c>
      <c r="H125" s="14">
        <f>H126+H127</f>
        <v>759827.91</v>
      </c>
      <c r="I125" s="14">
        <f t="shared" si="2"/>
        <v>-7947172.0899999999</v>
      </c>
    </row>
    <row r="126" spans="1:9" s="9" customFormat="1" ht="15" customHeight="1">
      <c r="A126" s="8" t="s">
        <v>101</v>
      </c>
      <c r="B126" s="13" t="s">
        <v>98</v>
      </c>
      <c r="C126" s="13" t="s">
        <v>106</v>
      </c>
      <c r="D126" s="13" t="s">
        <v>31</v>
      </c>
      <c r="E126" s="13" t="s">
        <v>33</v>
      </c>
      <c r="F126" s="13"/>
      <c r="G126" s="14">
        <f>7455000-1000000</f>
        <v>6455000</v>
      </c>
      <c r="H126" s="14">
        <v>759827.91</v>
      </c>
      <c r="I126" s="14">
        <f t="shared" si="2"/>
        <v>-5695172.0899999999</v>
      </c>
    </row>
    <row r="127" spans="1:9" s="9" customFormat="1" ht="27" customHeight="1">
      <c r="A127" s="8" t="s">
        <v>102</v>
      </c>
      <c r="B127" s="13" t="s">
        <v>98</v>
      </c>
      <c r="C127" s="13" t="s">
        <v>106</v>
      </c>
      <c r="D127" s="13" t="s">
        <v>31</v>
      </c>
      <c r="E127" s="13" t="s">
        <v>35</v>
      </c>
      <c r="F127" s="13"/>
      <c r="G127" s="14">
        <v>2252000</v>
      </c>
      <c r="H127" s="14"/>
      <c r="I127" s="14">
        <f t="shared" si="2"/>
        <v>-2252000</v>
      </c>
    </row>
    <row r="128" spans="1:9" s="9" customFormat="1" ht="25.5">
      <c r="A128" s="28" t="s">
        <v>107</v>
      </c>
      <c r="B128" s="13" t="s">
        <v>98</v>
      </c>
      <c r="C128" s="13" t="s">
        <v>106</v>
      </c>
      <c r="D128" s="13" t="s">
        <v>43</v>
      </c>
      <c r="E128" s="13"/>
      <c r="F128" s="13"/>
      <c r="G128" s="14">
        <f>G129+G130</f>
        <v>40000</v>
      </c>
      <c r="H128" s="14">
        <f>H129+H130</f>
        <v>0</v>
      </c>
      <c r="I128" s="14">
        <f t="shared" si="2"/>
        <v>-40000</v>
      </c>
    </row>
    <row r="129" spans="1:9" s="9" customFormat="1" ht="38.25">
      <c r="A129" s="8" t="s">
        <v>44</v>
      </c>
      <c r="B129" s="13" t="s">
        <v>98</v>
      </c>
      <c r="C129" s="13" t="s">
        <v>106</v>
      </c>
      <c r="D129" s="13" t="s">
        <v>43</v>
      </c>
      <c r="E129" s="13" t="s">
        <v>45</v>
      </c>
      <c r="F129" s="13"/>
      <c r="G129" s="14">
        <v>26000</v>
      </c>
      <c r="H129" s="14"/>
      <c r="I129" s="14">
        <f t="shared" si="2"/>
        <v>-26000</v>
      </c>
    </row>
    <row r="130" spans="1:9" s="9" customFormat="1" ht="38.25">
      <c r="A130" s="8" t="s">
        <v>80</v>
      </c>
      <c r="B130" s="13" t="s">
        <v>98</v>
      </c>
      <c r="C130" s="13" t="s">
        <v>106</v>
      </c>
      <c r="D130" s="13" t="s">
        <v>43</v>
      </c>
      <c r="E130" s="13" t="s">
        <v>47</v>
      </c>
      <c r="F130" s="13"/>
      <c r="G130" s="14">
        <v>14000</v>
      </c>
      <c r="H130" s="14"/>
      <c r="I130" s="14">
        <f t="shared" si="2"/>
        <v>-14000</v>
      </c>
    </row>
    <row r="131" spans="1:9" s="9" customFormat="1" ht="12.75">
      <c r="A131" s="26" t="s">
        <v>71</v>
      </c>
      <c r="B131" s="13" t="s">
        <v>98</v>
      </c>
      <c r="C131" s="13" t="s">
        <v>106</v>
      </c>
      <c r="D131" s="13" t="s">
        <v>38</v>
      </c>
      <c r="E131" s="13"/>
      <c r="F131" s="13"/>
      <c r="G131" s="14">
        <f>G132+G133+G134+G139+G140+G141+G142+G143</f>
        <v>873900</v>
      </c>
      <c r="H131" s="14">
        <f>H132+H133+H134+H139+H140+H141+H142+H143</f>
        <v>131001.72</v>
      </c>
      <c r="I131" s="14">
        <f t="shared" si="2"/>
        <v>-742898.28</v>
      </c>
    </row>
    <row r="132" spans="1:9" s="9" customFormat="1" ht="12.75">
      <c r="A132" s="8" t="s">
        <v>3</v>
      </c>
      <c r="B132" s="13" t="s">
        <v>98</v>
      </c>
      <c r="C132" s="13" t="s">
        <v>106</v>
      </c>
      <c r="D132" s="13" t="s">
        <v>38</v>
      </c>
      <c r="E132" s="13" t="s">
        <v>49</v>
      </c>
      <c r="F132" s="13"/>
      <c r="G132" s="14">
        <v>93000</v>
      </c>
      <c r="H132" s="14">
        <v>15839.88</v>
      </c>
      <c r="I132" s="14">
        <f t="shared" si="2"/>
        <v>-77160.12</v>
      </c>
    </row>
    <row r="133" spans="1:9" s="9" customFormat="1" ht="12.75">
      <c r="A133" s="28" t="s">
        <v>94</v>
      </c>
      <c r="B133" s="13" t="s">
        <v>98</v>
      </c>
      <c r="C133" s="13" t="s">
        <v>106</v>
      </c>
      <c r="D133" s="13" t="s">
        <v>38</v>
      </c>
      <c r="E133" s="13" t="s">
        <v>47</v>
      </c>
      <c r="F133" s="13"/>
      <c r="G133" s="14">
        <f>7000-5000</f>
        <v>2000</v>
      </c>
      <c r="H133" s="14"/>
      <c r="I133" s="14">
        <f t="shared" si="2"/>
        <v>-2000</v>
      </c>
    </row>
    <row r="134" spans="1:9" s="9" customFormat="1" ht="12.75">
      <c r="A134" s="8" t="s">
        <v>50</v>
      </c>
      <c r="B134" s="13" t="s">
        <v>98</v>
      </c>
      <c r="C134" s="13" t="s">
        <v>106</v>
      </c>
      <c r="D134" s="13" t="s">
        <v>38</v>
      </c>
      <c r="E134" s="13" t="s">
        <v>51</v>
      </c>
      <c r="F134" s="13"/>
      <c r="G134" s="14">
        <f>G135+G136+G137+G138</f>
        <v>272000</v>
      </c>
      <c r="H134" s="14">
        <f>H135+H136+H137+H138</f>
        <v>42187.55</v>
      </c>
      <c r="I134" s="14">
        <f t="shared" si="2"/>
        <v>-229812.45</v>
      </c>
    </row>
    <row r="135" spans="1:9" s="9" customFormat="1" ht="14.25">
      <c r="A135" s="16" t="s">
        <v>9</v>
      </c>
      <c r="B135" s="13"/>
      <c r="C135" s="13"/>
      <c r="D135" s="13"/>
      <c r="E135" s="13"/>
      <c r="F135" s="13"/>
      <c r="G135" s="17">
        <v>272000</v>
      </c>
      <c r="H135" s="15">
        <v>42187.55</v>
      </c>
      <c r="I135" s="14">
        <f t="shared" si="2"/>
        <v>-229812.45</v>
      </c>
    </row>
    <row r="136" spans="1:9" s="9" customFormat="1" ht="14.25">
      <c r="A136" s="16" t="s">
        <v>10</v>
      </c>
      <c r="B136" s="13"/>
      <c r="C136" s="13"/>
      <c r="D136" s="13"/>
      <c r="E136" s="13"/>
      <c r="F136" s="13"/>
      <c r="G136" s="17"/>
      <c r="H136" s="15"/>
      <c r="I136" s="14">
        <f t="shared" si="2"/>
        <v>0</v>
      </c>
    </row>
    <row r="137" spans="1:9" s="9" customFormat="1" ht="14.25">
      <c r="A137" s="16" t="s">
        <v>11</v>
      </c>
      <c r="B137" s="13"/>
      <c r="C137" s="13"/>
      <c r="D137" s="13"/>
      <c r="E137" s="13"/>
      <c r="F137" s="13"/>
      <c r="G137" s="17"/>
      <c r="H137" s="15"/>
      <c r="I137" s="14">
        <f t="shared" si="2"/>
        <v>0</v>
      </c>
    </row>
    <row r="138" spans="1:9" s="9" customFormat="1" ht="14.25">
      <c r="A138" s="16" t="s">
        <v>12</v>
      </c>
      <c r="B138" s="13"/>
      <c r="C138" s="13"/>
      <c r="D138" s="13"/>
      <c r="E138" s="13"/>
      <c r="F138" s="13"/>
      <c r="G138" s="17"/>
      <c r="H138" s="15"/>
      <c r="I138" s="14">
        <f t="shared" si="2"/>
        <v>0</v>
      </c>
    </row>
    <row r="139" spans="1:9" s="9" customFormat="1" ht="12.75">
      <c r="A139" s="8" t="s">
        <v>52</v>
      </c>
      <c r="B139" s="13" t="s">
        <v>98</v>
      </c>
      <c r="C139" s="13" t="s">
        <v>106</v>
      </c>
      <c r="D139" s="13" t="s">
        <v>38</v>
      </c>
      <c r="E139" s="13" t="s">
        <v>53</v>
      </c>
      <c r="F139" s="13"/>
      <c r="G139" s="14">
        <v>11000</v>
      </c>
      <c r="H139" s="14">
        <v>562</v>
      </c>
      <c r="I139" s="14">
        <f t="shared" si="2"/>
        <v>-10438</v>
      </c>
    </row>
    <row r="140" spans="1:9" s="9" customFormat="1" ht="12.75">
      <c r="A140" s="8" t="s">
        <v>54</v>
      </c>
      <c r="B140" s="13" t="s">
        <v>98</v>
      </c>
      <c r="C140" s="13" t="s">
        <v>106</v>
      </c>
      <c r="D140" s="13" t="s">
        <v>38</v>
      </c>
      <c r="E140" s="13" t="s">
        <v>55</v>
      </c>
      <c r="F140" s="13"/>
      <c r="G140" s="14">
        <f>154000+5000</f>
        <v>159000</v>
      </c>
      <c r="H140" s="14">
        <v>43112.29</v>
      </c>
      <c r="I140" s="14">
        <f t="shared" si="2"/>
        <v>-115887.70999999999</v>
      </c>
    </row>
    <row r="141" spans="1:9" s="9" customFormat="1" ht="12.75">
      <c r="A141" s="8" t="s">
        <v>16</v>
      </c>
      <c r="B141" s="13" t="s">
        <v>98</v>
      </c>
      <c r="C141" s="13" t="s">
        <v>106</v>
      </c>
      <c r="D141" s="13" t="s">
        <v>38</v>
      </c>
      <c r="E141" s="13" t="s">
        <v>62</v>
      </c>
      <c r="F141" s="13"/>
      <c r="G141" s="14">
        <f>4000-100</f>
        <v>3900</v>
      </c>
      <c r="H141" s="14"/>
      <c r="I141" s="14">
        <f t="shared" si="2"/>
        <v>-3900</v>
      </c>
    </row>
    <row r="142" spans="1:9" s="9" customFormat="1" ht="12.75">
      <c r="A142" s="8" t="s">
        <v>6</v>
      </c>
      <c r="B142" s="13" t="s">
        <v>98</v>
      </c>
      <c r="C142" s="13" t="s">
        <v>106</v>
      </c>
      <c r="D142" s="13" t="s">
        <v>38</v>
      </c>
      <c r="E142" s="13" t="s">
        <v>39</v>
      </c>
      <c r="F142" s="13"/>
      <c r="G142" s="14">
        <v>65000</v>
      </c>
      <c r="H142" s="14">
        <v>7000</v>
      </c>
      <c r="I142" s="14">
        <f t="shared" si="2"/>
        <v>-58000</v>
      </c>
    </row>
    <row r="143" spans="1:9" s="9" customFormat="1" ht="12.75">
      <c r="A143" s="8"/>
      <c r="B143" s="13" t="s">
        <v>98</v>
      </c>
      <c r="C143" s="13" t="s">
        <v>106</v>
      </c>
      <c r="D143" s="13" t="s">
        <v>38</v>
      </c>
      <c r="E143" s="13" t="s">
        <v>40</v>
      </c>
      <c r="F143" s="13"/>
      <c r="G143" s="14">
        <f>G144+G145</f>
        <v>268000</v>
      </c>
      <c r="H143" s="14">
        <f>H144+H145</f>
        <v>22300</v>
      </c>
      <c r="I143" s="14">
        <f t="shared" si="2"/>
        <v>-245700</v>
      </c>
    </row>
    <row r="144" spans="1:9" s="9" customFormat="1" ht="12.75">
      <c r="A144" s="8"/>
      <c r="B144" s="13" t="s">
        <v>98</v>
      </c>
      <c r="C144" s="13" t="s">
        <v>106</v>
      </c>
      <c r="D144" s="13" t="s">
        <v>38</v>
      </c>
      <c r="E144" s="13" t="s">
        <v>40</v>
      </c>
      <c r="F144" s="13" t="s">
        <v>85</v>
      </c>
      <c r="G144" s="14">
        <f>120000</f>
        <v>120000</v>
      </c>
      <c r="H144" s="14">
        <v>20000</v>
      </c>
      <c r="I144" s="14">
        <f t="shared" si="2"/>
        <v>-100000</v>
      </c>
    </row>
    <row r="145" spans="1:9" s="9" customFormat="1" ht="12.75">
      <c r="A145" s="8" t="s">
        <v>7</v>
      </c>
      <c r="B145" s="13" t="s">
        <v>98</v>
      </c>
      <c r="C145" s="13" t="s">
        <v>106</v>
      </c>
      <c r="D145" s="13" t="s">
        <v>38</v>
      </c>
      <c r="E145" s="13" t="s">
        <v>40</v>
      </c>
      <c r="F145" s="13" t="s">
        <v>41</v>
      </c>
      <c r="G145" s="14">
        <f>268000-120000</f>
        <v>148000</v>
      </c>
      <c r="H145" s="14">
        <v>2300</v>
      </c>
      <c r="I145" s="14">
        <f t="shared" si="2"/>
        <v>-145700</v>
      </c>
    </row>
    <row r="146" spans="1:9" s="9" customFormat="1" ht="25.5">
      <c r="A146" s="67" t="s">
        <v>60</v>
      </c>
      <c r="B146" s="13" t="s">
        <v>98</v>
      </c>
      <c r="C146" s="13" t="s">
        <v>106</v>
      </c>
      <c r="D146" s="13" t="s">
        <v>61</v>
      </c>
      <c r="E146" s="13" t="s">
        <v>62</v>
      </c>
      <c r="F146" s="13"/>
      <c r="G146" s="14">
        <f>30000-100+100</f>
        <v>30000</v>
      </c>
      <c r="H146" s="14"/>
      <c r="I146" s="14">
        <f>H146-G146</f>
        <v>-30000</v>
      </c>
    </row>
    <row r="147" spans="1:9" s="9" customFormat="1" ht="12.75">
      <c r="A147" s="8" t="s">
        <v>63</v>
      </c>
      <c r="B147" s="13" t="s">
        <v>98</v>
      </c>
      <c r="C147" s="13" t="s">
        <v>106</v>
      </c>
      <c r="D147" s="13" t="s">
        <v>64</v>
      </c>
      <c r="E147" s="13" t="s">
        <v>62</v>
      </c>
      <c r="F147" s="13"/>
      <c r="G147" s="14">
        <f>50000+100</f>
        <v>50100</v>
      </c>
      <c r="H147" s="14">
        <v>50062.68</v>
      </c>
      <c r="I147" s="14">
        <f t="shared" si="2"/>
        <v>-37.319999999999709</v>
      </c>
    </row>
    <row r="148" spans="1:9" s="12" customFormat="1" ht="12.75">
      <c r="A148" s="35" t="s">
        <v>136</v>
      </c>
      <c r="B148" s="24"/>
      <c r="C148" s="24"/>
      <c r="D148" s="24"/>
      <c r="E148" s="24"/>
      <c r="F148" s="24"/>
      <c r="G148" s="58">
        <f>G147+G146+G131+G128+G125</f>
        <v>9701000</v>
      </c>
      <c r="H148" s="58">
        <f>H147+H146+H131+H128+H125</f>
        <v>940892.31</v>
      </c>
      <c r="I148" s="25">
        <f t="shared" si="2"/>
        <v>-8760107.6899999995</v>
      </c>
    </row>
    <row r="149" spans="1:9" s="9" customFormat="1" ht="15" customHeight="1">
      <c r="A149" s="8"/>
      <c r="B149" s="189" t="s">
        <v>18</v>
      </c>
      <c r="C149" s="189"/>
      <c r="D149" s="189"/>
      <c r="E149" s="189"/>
      <c r="F149" s="189"/>
      <c r="G149" s="190" t="s">
        <v>19</v>
      </c>
      <c r="H149" s="190" t="s">
        <v>20</v>
      </c>
      <c r="I149" s="190" t="s">
        <v>21</v>
      </c>
    </row>
    <row r="150" spans="1:9" s="9" customFormat="1" ht="77.25" customHeight="1">
      <c r="A150" s="8"/>
      <c r="B150" s="46" t="s">
        <v>22</v>
      </c>
      <c r="C150" s="46" t="s">
        <v>23</v>
      </c>
      <c r="D150" s="46" t="s">
        <v>24</v>
      </c>
      <c r="E150" s="46" t="s">
        <v>25</v>
      </c>
      <c r="F150" s="46" t="s">
        <v>26</v>
      </c>
      <c r="G150" s="191"/>
      <c r="H150" s="191"/>
      <c r="I150" s="191"/>
    </row>
    <row r="151" spans="1:9" s="9" customFormat="1" ht="15.75" customHeight="1">
      <c r="A151" s="68" t="s">
        <v>27</v>
      </c>
      <c r="B151" s="69" t="s">
        <v>29</v>
      </c>
      <c r="C151" s="69" t="s">
        <v>108</v>
      </c>
      <c r="D151" s="69" t="s">
        <v>109</v>
      </c>
      <c r="E151" s="69" t="s">
        <v>149</v>
      </c>
      <c r="F151" s="46"/>
      <c r="G151" s="70">
        <f>G152+G153+G154</f>
        <v>19832000</v>
      </c>
      <c r="H151" s="70">
        <f>H152+H153+H154</f>
        <v>2300343.1</v>
      </c>
      <c r="I151" s="71">
        <f t="shared" ref="I151:I214" si="3">H151-G151</f>
        <v>-17531656.899999999</v>
      </c>
    </row>
    <row r="152" spans="1:9" s="29" customFormat="1" ht="12.75">
      <c r="A152" s="68"/>
      <c r="B152" s="69"/>
      <c r="C152" s="69"/>
      <c r="D152" s="69"/>
      <c r="E152" s="69" t="s">
        <v>33</v>
      </c>
      <c r="F152" s="69"/>
      <c r="G152" s="71">
        <f>G7+G15</f>
        <v>15459000</v>
      </c>
      <c r="H152" s="71">
        <f>H7+H15</f>
        <v>1880760.2200000002</v>
      </c>
      <c r="I152" s="71">
        <f t="shared" si="3"/>
        <v>-13578239.779999999</v>
      </c>
    </row>
    <row r="153" spans="1:9" s="29" customFormat="1" ht="12.75">
      <c r="A153" s="8"/>
      <c r="B153" s="69"/>
      <c r="C153" s="69"/>
      <c r="D153" s="69"/>
      <c r="E153" s="69" t="s">
        <v>45</v>
      </c>
      <c r="F153" s="69"/>
      <c r="G153" s="71">
        <f>G18</f>
        <v>6000</v>
      </c>
      <c r="H153" s="71">
        <f>H18</f>
        <v>0</v>
      </c>
      <c r="I153" s="71">
        <f t="shared" si="3"/>
        <v>-6000</v>
      </c>
    </row>
    <row r="154" spans="1:9" s="29" customFormat="1" ht="12.75">
      <c r="A154" s="8"/>
      <c r="B154" s="69"/>
      <c r="C154" s="69"/>
      <c r="D154" s="69"/>
      <c r="E154" s="69" t="s">
        <v>35</v>
      </c>
      <c r="F154" s="69"/>
      <c r="G154" s="71">
        <f>G8+G16</f>
        <v>4367000</v>
      </c>
      <c r="H154" s="71">
        <f>H8+H16</f>
        <v>419582.88</v>
      </c>
      <c r="I154" s="71">
        <f t="shared" si="3"/>
        <v>-3947417.12</v>
      </c>
    </row>
    <row r="155" spans="1:9" s="29" customFormat="1" ht="12.75">
      <c r="A155" s="8"/>
      <c r="B155" s="69"/>
      <c r="C155" s="69"/>
      <c r="D155" s="69"/>
      <c r="E155" s="69" t="s">
        <v>150</v>
      </c>
      <c r="F155" s="69"/>
      <c r="G155" s="71">
        <f>G156+G157+G158+G163+G164</f>
        <v>8828000</v>
      </c>
      <c r="H155" s="71">
        <f>H156+H157+H158+H163+H164</f>
        <v>1302953.7399999998</v>
      </c>
      <c r="I155" s="71">
        <f t="shared" si="3"/>
        <v>-7525046.2599999998</v>
      </c>
    </row>
    <row r="156" spans="1:9" s="29" customFormat="1" ht="12.75">
      <c r="A156" s="8"/>
      <c r="B156" s="69"/>
      <c r="C156" s="69"/>
      <c r="D156" s="69"/>
      <c r="E156" s="69" t="s">
        <v>49</v>
      </c>
      <c r="F156" s="69"/>
      <c r="G156" s="71">
        <f>G21</f>
        <v>91000</v>
      </c>
      <c r="H156" s="71">
        <f>H21</f>
        <v>19735.599999999999</v>
      </c>
      <c r="I156" s="71">
        <f t="shared" si="3"/>
        <v>-71264.399999999994</v>
      </c>
    </row>
    <row r="157" spans="1:9" s="29" customFormat="1" ht="12.75">
      <c r="A157" s="8"/>
      <c r="B157" s="69"/>
      <c r="C157" s="69"/>
      <c r="D157" s="69"/>
      <c r="E157" s="69" t="s">
        <v>47</v>
      </c>
      <c r="F157" s="69"/>
      <c r="G157" s="71">
        <f>G19</f>
        <v>1000</v>
      </c>
      <c r="H157" s="71">
        <f>H19</f>
        <v>0</v>
      </c>
      <c r="I157" s="71">
        <f t="shared" si="3"/>
        <v>-1000</v>
      </c>
    </row>
    <row r="158" spans="1:9" s="29" customFormat="1" ht="12.75">
      <c r="A158" s="8"/>
      <c r="B158" s="69"/>
      <c r="C158" s="69"/>
      <c r="D158" s="69"/>
      <c r="E158" s="69" t="s">
        <v>51</v>
      </c>
      <c r="F158" s="69"/>
      <c r="G158" s="71">
        <f t="shared" ref="G158:H164" si="4">G22</f>
        <v>7271000</v>
      </c>
      <c r="H158" s="71">
        <f t="shared" si="4"/>
        <v>1195744.5199999998</v>
      </c>
      <c r="I158" s="71">
        <f t="shared" si="3"/>
        <v>-6075255.4800000004</v>
      </c>
    </row>
    <row r="159" spans="1:9" s="9" customFormat="1" ht="22.5">
      <c r="A159" s="72"/>
      <c r="B159" s="73"/>
      <c r="C159" s="73"/>
      <c r="D159" s="72"/>
      <c r="E159" s="72"/>
      <c r="F159" s="74" t="s">
        <v>9</v>
      </c>
      <c r="G159" s="75">
        <f t="shared" si="4"/>
        <v>5816000</v>
      </c>
      <c r="H159" s="75">
        <f t="shared" si="4"/>
        <v>909408.82</v>
      </c>
      <c r="I159" s="71">
        <f t="shared" si="3"/>
        <v>-4906591.18</v>
      </c>
    </row>
    <row r="160" spans="1:9" s="9" customFormat="1" ht="22.5">
      <c r="A160" s="72"/>
      <c r="B160" s="73"/>
      <c r="C160" s="73"/>
      <c r="D160" s="72"/>
      <c r="E160" s="72"/>
      <c r="F160" s="74" t="s">
        <v>10</v>
      </c>
      <c r="G160" s="75">
        <f t="shared" si="4"/>
        <v>1002000</v>
      </c>
      <c r="H160" s="75">
        <f t="shared" si="4"/>
        <v>206949.02</v>
      </c>
      <c r="I160" s="71">
        <f t="shared" si="3"/>
        <v>-795050.98</v>
      </c>
    </row>
    <row r="161" spans="1:9" s="9" customFormat="1" ht="22.5">
      <c r="A161" s="72"/>
      <c r="B161" s="73"/>
      <c r="C161" s="73"/>
      <c r="D161" s="72"/>
      <c r="E161" s="72"/>
      <c r="F161" s="74" t="s">
        <v>11</v>
      </c>
      <c r="G161" s="75">
        <f t="shared" si="4"/>
        <v>316800</v>
      </c>
      <c r="H161" s="75">
        <f t="shared" si="4"/>
        <v>65715.41</v>
      </c>
      <c r="I161" s="71">
        <f t="shared" si="3"/>
        <v>-251084.59</v>
      </c>
    </row>
    <row r="162" spans="1:9" s="9" customFormat="1" ht="12.75">
      <c r="A162" s="72"/>
      <c r="B162" s="73"/>
      <c r="C162" s="73"/>
      <c r="D162" s="72"/>
      <c r="E162" s="72"/>
      <c r="F162" s="74" t="s">
        <v>12</v>
      </c>
      <c r="G162" s="75">
        <f t="shared" si="4"/>
        <v>136200</v>
      </c>
      <c r="H162" s="75">
        <f t="shared" si="4"/>
        <v>13671.27</v>
      </c>
      <c r="I162" s="71">
        <f t="shared" si="3"/>
        <v>-122528.73</v>
      </c>
    </row>
    <row r="163" spans="1:9" s="29" customFormat="1" ht="12.75">
      <c r="A163" s="8"/>
      <c r="B163" s="69"/>
      <c r="C163" s="69"/>
      <c r="D163" s="69"/>
      <c r="E163" s="69" t="s">
        <v>53</v>
      </c>
      <c r="F163" s="69"/>
      <c r="G163" s="71">
        <f t="shared" si="4"/>
        <v>472000</v>
      </c>
      <c r="H163" s="71">
        <f t="shared" si="4"/>
        <v>38892.959999999999</v>
      </c>
      <c r="I163" s="71">
        <f t="shared" si="3"/>
        <v>-433107.04</v>
      </c>
    </row>
    <row r="164" spans="1:9" s="29" customFormat="1" ht="12.75">
      <c r="A164" s="8"/>
      <c r="B164" s="69"/>
      <c r="C164" s="69"/>
      <c r="D164" s="69"/>
      <c r="E164" s="69" t="s">
        <v>55</v>
      </c>
      <c r="F164" s="69"/>
      <c r="G164" s="71">
        <f t="shared" si="4"/>
        <v>993000</v>
      </c>
      <c r="H164" s="71">
        <f t="shared" si="4"/>
        <v>48580.66</v>
      </c>
      <c r="I164" s="71">
        <f t="shared" si="3"/>
        <v>-944419.34</v>
      </c>
    </row>
    <row r="165" spans="1:9" s="29" customFormat="1" ht="12.75">
      <c r="A165" s="8"/>
      <c r="B165" s="69"/>
      <c r="C165" s="69"/>
      <c r="D165" s="69"/>
      <c r="E165" s="69" t="s">
        <v>62</v>
      </c>
      <c r="F165" s="69"/>
      <c r="G165" s="71">
        <f>G37+G36+G29</f>
        <v>258000</v>
      </c>
      <c r="H165" s="71">
        <f>H37+H36+H29</f>
        <v>14075</v>
      </c>
      <c r="I165" s="71">
        <f t="shared" si="3"/>
        <v>-243925</v>
      </c>
    </row>
    <row r="166" spans="1:9" s="29" customFormat="1" ht="12.75">
      <c r="A166" s="8"/>
      <c r="B166" s="69"/>
      <c r="C166" s="69"/>
      <c r="D166" s="69"/>
      <c r="E166" s="69" t="s">
        <v>39</v>
      </c>
      <c r="F166" s="69"/>
      <c r="G166" s="71">
        <f>G11+G30</f>
        <v>205000</v>
      </c>
      <c r="H166" s="71">
        <f>H11+H30</f>
        <v>0</v>
      </c>
      <c r="I166" s="71">
        <f t="shared" si="3"/>
        <v>-205000</v>
      </c>
    </row>
    <row r="167" spans="1:9" s="29" customFormat="1" ht="12.75">
      <c r="A167" s="8"/>
      <c r="B167" s="69"/>
      <c r="C167" s="69"/>
      <c r="D167" s="69"/>
      <c r="E167" s="69" t="s">
        <v>40</v>
      </c>
      <c r="F167" s="69"/>
      <c r="G167" s="71">
        <f>G168+G169+G170</f>
        <v>3585000</v>
      </c>
      <c r="H167" s="71">
        <f>H168+H169+H170</f>
        <v>446702.88</v>
      </c>
      <c r="I167" s="71">
        <f t="shared" si="3"/>
        <v>-3138297.12</v>
      </c>
    </row>
    <row r="168" spans="1:9" s="29" customFormat="1">
      <c r="A168" s="57"/>
      <c r="B168" s="69"/>
      <c r="C168" s="69"/>
      <c r="D168" s="69"/>
      <c r="E168" s="69" t="s">
        <v>40</v>
      </c>
      <c r="F168" s="69" t="s">
        <v>41</v>
      </c>
      <c r="G168" s="71">
        <f>G12+G34</f>
        <v>551000</v>
      </c>
      <c r="H168" s="71">
        <f>H12+H34</f>
        <v>31500</v>
      </c>
      <c r="I168" s="71">
        <f t="shared" si="3"/>
        <v>-519500</v>
      </c>
    </row>
    <row r="169" spans="1:9" s="29" customFormat="1">
      <c r="A169" s="57"/>
      <c r="B169" s="69"/>
      <c r="C169" s="69"/>
      <c r="D169" s="69"/>
      <c r="E169" s="69" t="s">
        <v>40</v>
      </c>
      <c r="F169" s="69" t="s">
        <v>59</v>
      </c>
      <c r="G169" s="71">
        <f>G33</f>
        <v>89000</v>
      </c>
      <c r="H169" s="71">
        <f>H33</f>
        <v>0</v>
      </c>
      <c r="I169" s="71">
        <f t="shared" si="3"/>
        <v>-89000</v>
      </c>
    </row>
    <row r="170" spans="1:9" s="29" customFormat="1" ht="12.75">
      <c r="A170" s="76"/>
      <c r="B170" s="69"/>
      <c r="C170" s="77"/>
      <c r="D170" s="77"/>
      <c r="E170" s="69" t="s">
        <v>40</v>
      </c>
      <c r="F170" s="69" t="s">
        <v>57</v>
      </c>
      <c r="G170" s="71">
        <f>G32</f>
        <v>2945000</v>
      </c>
      <c r="H170" s="71">
        <f>H32</f>
        <v>415202.88</v>
      </c>
      <c r="I170" s="71">
        <f t="shared" si="3"/>
        <v>-2529797.1200000001</v>
      </c>
    </row>
    <row r="171" spans="1:9" s="29" customFormat="1" ht="12.75">
      <c r="A171" s="68" t="s">
        <v>151</v>
      </c>
      <c r="B171" s="77" t="s">
        <v>29</v>
      </c>
      <c r="C171" s="69" t="s">
        <v>108</v>
      </c>
      <c r="D171" s="69" t="s">
        <v>109</v>
      </c>
      <c r="E171" s="77"/>
      <c r="F171" s="77"/>
      <c r="G171" s="78">
        <f>G167+G166+G165+G155+G151</f>
        <v>32708000</v>
      </c>
      <c r="H171" s="78">
        <f>H167+H166+H165+H155+H151</f>
        <v>4064074.7199999997</v>
      </c>
      <c r="I171" s="78">
        <f t="shared" si="3"/>
        <v>-28643925.280000001</v>
      </c>
    </row>
    <row r="172" spans="1:9" s="29" customFormat="1" ht="12.75">
      <c r="A172" s="68" t="s">
        <v>65</v>
      </c>
      <c r="B172" s="69" t="s">
        <v>67</v>
      </c>
      <c r="C172" s="69" t="s">
        <v>108</v>
      </c>
      <c r="D172" s="69" t="s">
        <v>109</v>
      </c>
      <c r="E172" s="69" t="s">
        <v>149</v>
      </c>
      <c r="F172" s="69"/>
      <c r="G172" s="71">
        <f>G173+G174+G175</f>
        <v>96746000</v>
      </c>
      <c r="H172" s="71">
        <f>H173+H174+H175</f>
        <v>8870699.3000000007</v>
      </c>
      <c r="I172" s="71">
        <f t="shared" si="3"/>
        <v>-87875300.700000003</v>
      </c>
    </row>
    <row r="173" spans="1:9" s="29" customFormat="1" ht="12.75">
      <c r="A173" s="68"/>
      <c r="B173" s="79"/>
      <c r="C173" s="79"/>
      <c r="D173" s="79"/>
      <c r="E173" s="79" t="s">
        <v>33</v>
      </c>
      <c r="F173" s="79"/>
      <c r="G173" s="70">
        <f>G41+G55+G91</f>
        <v>74254000</v>
      </c>
      <c r="H173" s="70">
        <f>H41+H55+H91</f>
        <v>7228006.8399999999</v>
      </c>
      <c r="I173" s="70">
        <f t="shared" si="3"/>
        <v>-67025993.159999996</v>
      </c>
    </row>
    <row r="174" spans="1:9" s="29" customFormat="1" ht="12.75">
      <c r="A174" s="68"/>
      <c r="B174" s="69"/>
      <c r="C174" s="69"/>
      <c r="D174" s="69"/>
      <c r="E174" s="69" t="s">
        <v>45</v>
      </c>
      <c r="F174" s="69"/>
      <c r="G174" s="71">
        <f>G45+G62</f>
        <v>67000</v>
      </c>
      <c r="H174" s="71">
        <f>H45+H62</f>
        <v>0</v>
      </c>
      <c r="I174" s="71">
        <f t="shared" si="3"/>
        <v>-67000</v>
      </c>
    </row>
    <row r="175" spans="1:9" s="29" customFormat="1" ht="12.75">
      <c r="A175" s="76"/>
      <c r="B175" s="69"/>
      <c r="C175" s="69"/>
      <c r="D175" s="69"/>
      <c r="E175" s="69" t="s">
        <v>35</v>
      </c>
      <c r="F175" s="69"/>
      <c r="G175" s="80">
        <f>G42+G56+G92</f>
        <v>22425000</v>
      </c>
      <c r="H175" s="80">
        <f>H42+H56+H92</f>
        <v>1642692.46</v>
      </c>
      <c r="I175" s="71">
        <f t="shared" si="3"/>
        <v>-20782307.539999999</v>
      </c>
    </row>
    <row r="176" spans="1:9" s="29" customFormat="1" ht="12.75">
      <c r="A176" s="76"/>
      <c r="B176" s="69"/>
      <c r="C176" s="69"/>
      <c r="D176" s="69"/>
      <c r="E176" s="69" t="s">
        <v>150</v>
      </c>
      <c r="F176" s="69"/>
      <c r="G176" s="80">
        <f>G177+G178+G179+G184+G185</f>
        <v>24228000</v>
      </c>
      <c r="H176" s="80">
        <f>H177+H178+H179+H184+H185</f>
        <v>5703908.120000001</v>
      </c>
      <c r="I176" s="71">
        <f t="shared" si="3"/>
        <v>-18524091.879999999</v>
      </c>
    </row>
    <row r="177" spans="1:9" s="29" customFormat="1" ht="12.75">
      <c r="A177" s="76"/>
      <c r="B177" s="69"/>
      <c r="C177" s="69"/>
      <c r="D177" s="69"/>
      <c r="E177" s="69" t="s">
        <v>49</v>
      </c>
      <c r="F177" s="69"/>
      <c r="G177" s="71">
        <f>G48+G94+G66</f>
        <v>305000</v>
      </c>
      <c r="H177" s="71">
        <f>H48+H94+H66</f>
        <v>14930.91</v>
      </c>
      <c r="I177" s="71">
        <f t="shared" si="3"/>
        <v>-290069.09000000003</v>
      </c>
    </row>
    <row r="178" spans="1:9" s="29" customFormat="1" ht="12.75">
      <c r="A178" s="76"/>
      <c r="B178" s="69"/>
      <c r="C178" s="69"/>
      <c r="D178" s="69"/>
      <c r="E178" s="69" t="s">
        <v>47</v>
      </c>
      <c r="F178" s="69"/>
      <c r="G178" s="71">
        <f>G46+G63</f>
        <v>21000</v>
      </c>
      <c r="H178" s="71">
        <f>H46+H63</f>
        <v>0</v>
      </c>
      <c r="I178" s="71">
        <f t="shared" si="3"/>
        <v>-21000</v>
      </c>
    </row>
    <row r="179" spans="1:9" s="29" customFormat="1" ht="12.75">
      <c r="A179" s="76"/>
      <c r="B179" s="69"/>
      <c r="C179" s="69"/>
      <c r="D179" s="69"/>
      <c r="E179" s="69" t="s">
        <v>51</v>
      </c>
      <c r="F179" s="69"/>
      <c r="G179" s="71">
        <f>G67+G95</f>
        <v>22983000</v>
      </c>
      <c r="H179" s="71">
        <f>H67+H95</f>
        <v>5636754.5800000001</v>
      </c>
      <c r="I179" s="71">
        <f t="shared" si="3"/>
        <v>-17346245.420000002</v>
      </c>
    </row>
    <row r="180" spans="1:9" s="9" customFormat="1" ht="22.5">
      <c r="A180" s="73"/>
      <c r="B180" s="73"/>
      <c r="C180" s="73"/>
      <c r="D180" s="73"/>
      <c r="E180" s="73"/>
      <c r="F180" s="74" t="s">
        <v>9</v>
      </c>
      <c r="G180" s="75">
        <f t="shared" ref="G180:H183" si="5">G96+G68</f>
        <v>21740500</v>
      </c>
      <c r="H180" s="75">
        <f t="shared" si="5"/>
        <v>4927672.92</v>
      </c>
      <c r="I180" s="71">
        <f t="shared" si="3"/>
        <v>-16812827.079999998</v>
      </c>
    </row>
    <row r="181" spans="1:9" s="9" customFormat="1" ht="22.5">
      <c r="A181" s="73"/>
      <c r="B181" s="73"/>
      <c r="C181" s="73"/>
      <c r="D181" s="73"/>
      <c r="E181" s="73"/>
      <c r="F181" s="74" t="s">
        <v>10</v>
      </c>
      <c r="G181" s="75">
        <f t="shared" si="5"/>
        <v>1024500</v>
      </c>
      <c r="H181" s="75">
        <f t="shared" si="5"/>
        <v>640210.58000000007</v>
      </c>
      <c r="I181" s="71">
        <f t="shared" si="3"/>
        <v>-384289.41999999993</v>
      </c>
    </row>
    <row r="182" spans="1:9" s="9" customFormat="1" ht="22.5">
      <c r="A182" s="73"/>
      <c r="B182" s="73"/>
      <c r="C182" s="73"/>
      <c r="D182" s="73"/>
      <c r="E182" s="73"/>
      <c r="F182" s="74" t="s">
        <v>11</v>
      </c>
      <c r="G182" s="75">
        <f t="shared" si="5"/>
        <v>118000</v>
      </c>
      <c r="H182" s="75">
        <f t="shared" si="5"/>
        <v>14284.59</v>
      </c>
      <c r="I182" s="71">
        <f t="shared" si="3"/>
        <v>-103715.41</v>
      </c>
    </row>
    <row r="183" spans="1:9" s="9" customFormat="1" ht="12.75">
      <c r="A183" s="73"/>
      <c r="B183" s="73"/>
      <c r="C183" s="73"/>
      <c r="D183" s="73"/>
      <c r="E183" s="73"/>
      <c r="F183" s="74" t="s">
        <v>12</v>
      </c>
      <c r="G183" s="75">
        <f t="shared" si="5"/>
        <v>100000</v>
      </c>
      <c r="H183" s="75">
        <f t="shared" si="5"/>
        <v>54586.49</v>
      </c>
      <c r="I183" s="71">
        <f t="shared" si="3"/>
        <v>-45413.51</v>
      </c>
    </row>
    <row r="184" spans="1:9" s="29" customFormat="1" ht="12.75">
      <c r="A184" s="76"/>
      <c r="B184" s="69"/>
      <c r="C184" s="69"/>
      <c r="D184" s="69"/>
      <c r="E184" s="69" t="s">
        <v>53</v>
      </c>
      <c r="F184" s="69"/>
      <c r="G184" s="71">
        <f>G49+G72+G100</f>
        <v>577000</v>
      </c>
      <c r="H184" s="71">
        <f>H49+H72+H100</f>
        <v>3337.15</v>
      </c>
      <c r="I184" s="71">
        <f t="shared" si="3"/>
        <v>-573662.85</v>
      </c>
    </row>
    <row r="185" spans="1:9" s="29" customFormat="1" ht="12.75">
      <c r="A185" s="76"/>
      <c r="B185" s="69"/>
      <c r="C185" s="69"/>
      <c r="D185" s="69"/>
      <c r="E185" s="69" t="s">
        <v>55</v>
      </c>
      <c r="F185" s="69"/>
      <c r="G185" s="71">
        <f>G50+G64+G73</f>
        <v>342000</v>
      </c>
      <c r="H185" s="71">
        <f>H50+H64+H73</f>
        <v>48885.48</v>
      </c>
      <c r="I185" s="71">
        <f t="shared" si="3"/>
        <v>-293114.52</v>
      </c>
    </row>
    <row r="186" spans="1:9" s="29" customFormat="1" ht="12.75">
      <c r="A186" s="76"/>
      <c r="B186" s="69"/>
      <c r="C186" s="69"/>
      <c r="D186" s="69"/>
      <c r="E186" s="69" t="s">
        <v>62</v>
      </c>
      <c r="F186" s="69"/>
      <c r="G186" s="71">
        <f>G106+G101+G83+G82+G74+G105</f>
        <v>2421100</v>
      </c>
      <c r="H186" s="71">
        <f>H106+H101+H83+H82+H74+H105</f>
        <v>401345.22</v>
      </c>
      <c r="I186" s="71">
        <f t="shared" si="3"/>
        <v>-2019754.78</v>
      </c>
    </row>
    <row r="187" spans="1:9" s="29" customFormat="1" ht="12.75">
      <c r="A187" s="76"/>
      <c r="B187" s="69"/>
      <c r="C187" s="69"/>
      <c r="D187" s="69"/>
      <c r="E187" s="69" t="s">
        <v>39</v>
      </c>
      <c r="F187" s="69"/>
      <c r="G187" s="71">
        <f>G58+G51+G75</f>
        <v>503000</v>
      </c>
      <c r="H187" s="71">
        <f>H58+H51+H75</f>
        <v>2699</v>
      </c>
      <c r="I187" s="71">
        <f t="shared" si="3"/>
        <v>-500301</v>
      </c>
    </row>
    <row r="188" spans="1:9" s="29" customFormat="1" ht="12.75">
      <c r="A188" s="76"/>
      <c r="B188" s="69"/>
      <c r="C188" s="69"/>
      <c r="D188" s="69"/>
      <c r="E188" s="69" t="s">
        <v>40</v>
      </c>
      <c r="F188" s="69"/>
      <c r="G188" s="71">
        <f>G189+G190++G192+G191+G193</f>
        <v>8103900</v>
      </c>
      <c r="H188" s="71">
        <f>H189+H190++H192+H191+H193</f>
        <v>1327410.94</v>
      </c>
      <c r="I188" s="71">
        <f t="shared" si="3"/>
        <v>-6776489.0600000005</v>
      </c>
    </row>
    <row r="189" spans="1:9" s="29" customFormat="1" ht="12.75">
      <c r="A189" s="76"/>
      <c r="B189" s="69"/>
      <c r="C189" s="69"/>
      <c r="D189" s="69"/>
      <c r="E189" s="69" t="s">
        <v>40</v>
      </c>
      <c r="F189" s="69" t="s">
        <v>57</v>
      </c>
      <c r="G189" s="71">
        <f>G78+G59</f>
        <v>4213000</v>
      </c>
      <c r="H189" s="71">
        <f>H78+H59</f>
        <v>983002.14</v>
      </c>
      <c r="I189" s="71">
        <f>H189-G189</f>
        <v>-3229997.86</v>
      </c>
    </row>
    <row r="190" spans="1:9" s="29" customFormat="1" ht="12.75">
      <c r="A190" s="76"/>
      <c r="B190" s="69"/>
      <c r="C190" s="69"/>
      <c r="D190" s="69"/>
      <c r="E190" s="69" t="s">
        <v>40</v>
      </c>
      <c r="F190" s="69" t="s">
        <v>59</v>
      </c>
      <c r="G190" s="71">
        <f>G79</f>
        <v>77000</v>
      </c>
      <c r="H190" s="71">
        <f>H79</f>
        <v>0</v>
      </c>
      <c r="I190" s="71">
        <f>H190-G190</f>
        <v>-77000</v>
      </c>
    </row>
    <row r="191" spans="1:9" s="29" customFormat="1" ht="12.75">
      <c r="A191" s="76"/>
      <c r="B191" s="69"/>
      <c r="C191" s="69"/>
      <c r="D191" s="69"/>
      <c r="E191" s="69" t="s">
        <v>40</v>
      </c>
      <c r="F191" s="69" t="s">
        <v>85</v>
      </c>
      <c r="G191" s="71">
        <f>G103+G80</f>
        <v>0</v>
      </c>
      <c r="H191" s="71">
        <f>H103+H80</f>
        <v>0</v>
      </c>
      <c r="I191" s="71">
        <f>H191-G191</f>
        <v>0</v>
      </c>
    </row>
    <row r="192" spans="1:9" s="29" customFormat="1" ht="12.75">
      <c r="A192" s="76"/>
      <c r="B192" s="69"/>
      <c r="C192" s="69"/>
      <c r="D192" s="69"/>
      <c r="E192" s="69" t="s">
        <v>40</v>
      </c>
      <c r="F192" s="69" t="s">
        <v>41</v>
      </c>
      <c r="G192" s="71">
        <f>G104+G81+G52</f>
        <v>1713900</v>
      </c>
      <c r="H192" s="71">
        <f>H104+H81+H52</f>
        <v>14000</v>
      </c>
      <c r="I192" s="71">
        <f>H192-G192</f>
        <v>-1699900</v>
      </c>
    </row>
    <row r="193" spans="1:9" s="29" customFormat="1" ht="12.75">
      <c r="A193" s="68"/>
      <c r="B193" s="69"/>
      <c r="C193" s="69"/>
      <c r="D193" s="69"/>
      <c r="E193" s="69" t="s">
        <v>40</v>
      </c>
      <c r="F193" s="69" t="s">
        <v>88</v>
      </c>
      <c r="G193" s="71">
        <f>G87</f>
        <v>2100000</v>
      </c>
      <c r="H193" s="71">
        <f>H87</f>
        <v>330408.8</v>
      </c>
      <c r="I193" s="71">
        <f t="shared" si="3"/>
        <v>-1769591.2</v>
      </c>
    </row>
    <row r="194" spans="1:9" s="29" customFormat="1" ht="12.75">
      <c r="A194" s="68" t="s">
        <v>152</v>
      </c>
      <c r="B194" s="69" t="s">
        <v>67</v>
      </c>
      <c r="C194" s="69" t="s">
        <v>108</v>
      </c>
      <c r="D194" s="69" t="s">
        <v>109</v>
      </c>
      <c r="E194" s="69"/>
      <c r="F194" s="69"/>
      <c r="G194" s="71">
        <f>G188+G187+G186+G176+G172</f>
        <v>132002000</v>
      </c>
      <c r="H194" s="71">
        <f>H188+H187+H186+H176+H172</f>
        <v>16306062.580000002</v>
      </c>
      <c r="I194" s="71">
        <f t="shared" si="3"/>
        <v>-115695937.42</v>
      </c>
    </row>
    <row r="195" spans="1:9" s="29" customFormat="1" ht="21" customHeight="1">
      <c r="A195" s="81"/>
      <c r="B195" s="69"/>
      <c r="C195" s="69"/>
      <c r="D195" s="69"/>
      <c r="E195" s="69" t="s">
        <v>45</v>
      </c>
      <c r="F195" s="69"/>
      <c r="G195" s="71">
        <f t="shared" ref="G195:H197" si="6">G109</f>
        <v>20000</v>
      </c>
      <c r="H195" s="71">
        <f t="shared" si="6"/>
        <v>0</v>
      </c>
      <c r="I195" s="71">
        <f t="shared" si="3"/>
        <v>-20000</v>
      </c>
    </row>
    <row r="196" spans="1:9" s="29" customFormat="1" ht="12.75">
      <c r="A196" s="81"/>
      <c r="B196" s="69"/>
      <c r="C196" s="69"/>
      <c r="D196" s="69"/>
      <c r="E196" s="69" t="s">
        <v>47</v>
      </c>
      <c r="F196" s="69"/>
      <c r="G196" s="71">
        <f t="shared" si="6"/>
        <v>30000</v>
      </c>
      <c r="H196" s="71">
        <f t="shared" si="6"/>
        <v>0</v>
      </c>
      <c r="I196" s="71">
        <f t="shared" si="3"/>
        <v>-30000</v>
      </c>
    </row>
    <row r="197" spans="1:9" s="29" customFormat="1" ht="12.75">
      <c r="A197" s="81"/>
      <c r="B197" s="69"/>
      <c r="C197" s="69"/>
      <c r="D197" s="69"/>
      <c r="E197" s="69" t="s">
        <v>55</v>
      </c>
      <c r="F197" s="69"/>
      <c r="G197" s="71">
        <f t="shared" si="6"/>
        <v>219000</v>
      </c>
      <c r="H197" s="71">
        <f t="shared" si="6"/>
        <v>33000</v>
      </c>
      <c r="I197" s="71">
        <f t="shared" si="3"/>
        <v>-186000</v>
      </c>
    </row>
    <row r="198" spans="1:9" s="29" customFormat="1" ht="38.25">
      <c r="A198" s="81" t="s">
        <v>153</v>
      </c>
      <c r="B198" s="69" t="s">
        <v>92</v>
      </c>
      <c r="C198" s="69" t="s">
        <v>108</v>
      </c>
      <c r="D198" s="69" t="s">
        <v>109</v>
      </c>
      <c r="E198" s="69"/>
      <c r="F198" s="69"/>
      <c r="G198" s="71">
        <f>SUM(G195:G197)</f>
        <v>269000</v>
      </c>
      <c r="H198" s="71">
        <f>SUM(H195:H197)</f>
        <v>33000</v>
      </c>
      <c r="I198" s="71">
        <f>SUM(I195:I197)</f>
        <v>-236000</v>
      </c>
    </row>
    <row r="199" spans="1:9" s="29" customFormat="1" ht="12.75">
      <c r="A199" s="81" t="s">
        <v>96</v>
      </c>
      <c r="B199" s="69" t="s">
        <v>98</v>
      </c>
      <c r="C199" s="69" t="s">
        <v>108</v>
      </c>
      <c r="D199" s="69" t="s">
        <v>109</v>
      </c>
      <c r="E199" s="69" t="s">
        <v>149</v>
      </c>
      <c r="F199" s="69"/>
      <c r="G199" s="71">
        <f>G200+G201+G202</f>
        <v>10203000</v>
      </c>
      <c r="H199" s="71">
        <f>H200+H201+H202</f>
        <v>913146.82000000007</v>
      </c>
      <c r="I199" s="71">
        <f>H199-G199</f>
        <v>-9289853.1799999997</v>
      </c>
    </row>
    <row r="200" spans="1:9" s="29" customFormat="1" ht="12.75">
      <c r="A200" s="81"/>
      <c r="B200" s="69"/>
      <c r="C200" s="69"/>
      <c r="D200" s="69"/>
      <c r="E200" s="69" t="s">
        <v>33</v>
      </c>
      <c r="F200" s="69"/>
      <c r="G200" s="71">
        <f>G115+G119+G126</f>
        <v>7584000</v>
      </c>
      <c r="H200" s="71">
        <f>H115+H119+H126</f>
        <v>902320.27</v>
      </c>
      <c r="I200" s="71">
        <f t="shared" si="3"/>
        <v>-6681679.7300000004</v>
      </c>
    </row>
    <row r="201" spans="1:9" s="29" customFormat="1" ht="12.75">
      <c r="A201" s="76"/>
      <c r="B201" s="69"/>
      <c r="C201" s="69"/>
      <c r="D201" s="69"/>
      <c r="E201" s="69" t="s">
        <v>45</v>
      </c>
      <c r="F201" s="69"/>
      <c r="G201" s="71">
        <f>G129</f>
        <v>26000</v>
      </c>
      <c r="H201" s="71">
        <f>H129</f>
        <v>0</v>
      </c>
      <c r="I201" s="71">
        <f t="shared" si="3"/>
        <v>-26000</v>
      </c>
    </row>
    <row r="202" spans="1:9" s="29" customFormat="1" ht="12.75">
      <c r="A202" s="76"/>
      <c r="B202" s="69"/>
      <c r="C202" s="69"/>
      <c r="D202" s="69"/>
      <c r="E202" s="69" t="s">
        <v>35</v>
      </c>
      <c r="F202" s="69"/>
      <c r="G202" s="71">
        <f>G116+G120+G127</f>
        <v>2593000</v>
      </c>
      <c r="H202" s="71">
        <f>H116+H120+H127</f>
        <v>10826.55</v>
      </c>
      <c r="I202" s="71">
        <f t="shared" si="3"/>
        <v>-2582173.4500000002</v>
      </c>
    </row>
    <row r="203" spans="1:9" s="29" customFormat="1" ht="12.75">
      <c r="A203" s="76"/>
      <c r="B203" s="69"/>
      <c r="C203" s="69"/>
      <c r="D203" s="69"/>
      <c r="E203" s="69" t="s">
        <v>150</v>
      </c>
      <c r="F203" s="69"/>
      <c r="G203" s="71">
        <f>G204+G205+G206+G211+G212</f>
        <v>551000</v>
      </c>
      <c r="H203" s="71">
        <f>H204+H205+H206+H211+H212</f>
        <v>101701.72</v>
      </c>
      <c r="I203" s="71">
        <f t="shared" si="3"/>
        <v>-449298.28</v>
      </c>
    </row>
    <row r="204" spans="1:9" s="29" customFormat="1" ht="12.75">
      <c r="A204" s="76"/>
      <c r="B204" s="69"/>
      <c r="C204" s="69"/>
      <c r="D204" s="69"/>
      <c r="E204" s="69" t="s">
        <v>49</v>
      </c>
      <c r="F204" s="69"/>
      <c r="G204" s="71">
        <f>G132</f>
        <v>93000</v>
      </c>
      <c r="H204" s="71">
        <f>H132</f>
        <v>15839.88</v>
      </c>
      <c r="I204" s="71">
        <f t="shared" si="3"/>
        <v>-77160.12</v>
      </c>
    </row>
    <row r="205" spans="1:9" s="29" customFormat="1" ht="12.75">
      <c r="A205" s="76"/>
      <c r="B205" s="69"/>
      <c r="C205" s="69"/>
      <c r="D205" s="69"/>
      <c r="E205" s="69" t="s">
        <v>47</v>
      </c>
      <c r="F205" s="69"/>
      <c r="G205" s="71">
        <f>G130+G133</f>
        <v>16000</v>
      </c>
      <c r="H205" s="71">
        <f>H130+H133</f>
        <v>0</v>
      </c>
      <c r="I205" s="71">
        <f t="shared" si="3"/>
        <v>-16000</v>
      </c>
    </row>
    <row r="206" spans="1:9" s="29" customFormat="1" ht="12.75">
      <c r="A206" s="76"/>
      <c r="B206" s="69"/>
      <c r="C206" s="69"/>
      <c r="D206" s="69"/>
      <c r="E206" s="69" t="s">
        <v>51</v>
      </c>
      <c r="F206" s="69"/>
      <c r="G206" s="71">
        <f t="shared" ref="G206:H212" si="7">G134</f>
        <v>272000</v>
      </c>
      <c r="H206" s="71">
        <f t="shared" si="7"/>
        <v>42187.55</v>
      </c>
      <c r="I206" s="71">
        <f t="shared" si="3"/>
        <v>-229812.45</v>
      </c>
    </row>
    <row r="207" spans="1:9" s="9" customFormat="1" ht="22.5">
      <c r="A207" s="72"/>
      <c r="B207" s="73"/>
      <c r="C207" s="73"/>
      <c r="D207" s="73"/>
      <c r="E207" s="73"/>
      <c r="F207" s="74" t="s">
        <v>9</v>
      </c>
      <c r="G207" s="82">
        <f>G135</f>
        <v>272000</v>
      </c>
      <c r="H207" s="82">
        <f t="shared" si="7"/>
        <v>42187.55</v>
      </c>
      <c r="I207" s="71">
        <f t="shared" si="3"/>
        <v>-229812.45</v>
      </c>
    </row>
    <row r="208" spans="1:9" s="9" customFormat="1" ht="22.5">
      <c r="A208" s="72"/>
      <c r="B208" s="73"/>
      <c r="C208" s="73"/>
      <c r="D208" s="73"/>
      <c r="E208" s="73"/>
      <c r="F208" s="74" t="s">
        <v>10</v>
      </c>
      <c r="G208" s="82">
        <f t="shared" si="7"/>
        <v>0</v>
      </c>
      <c r="H208" s="82">
        <f t="shared" si="7"/>
        <v>0</v>
      </c>
      <c r="I208" s="71">
        <f t="shared" si="3"/>
        <v>0</v>
      </c>
    </row>
    <row r="209" spans="1:9" s="9" customFormat="1" ht="22.5">
      <c r="A209" s="72"/>
      <c r="B209" s="73"/>
      <c r="C209" s="73"/>
      <c r="D209" s="73"/>
      <c r="E209" s="73"/>
      <c r="F209" s="74" t="s">
        <v>11</v>
      </c>
      <c r="G209" s="82">
        <f t="shared" si="7"/>
        <v>0</v>
      </c>
      <c r="H209" s="82">
        <f t="shared" si="7"/>
        <v>0</v>
      </c>
      <c r="I209" s="71">
        <f t="shared" si="3"/>
        <v>0</v>
      </c>
    </row>
    <row r="210" spans="1:9" s="9" customFormat="1" ht="12.75">
      <c r="A210" s="72"/>
      <c r="B210" s="73"/>
      <c r="C210" s="73"/>
      <c r="D210" s="73"/>
      <c r="E210" s="73"/>
      <c r="F210" s="74" t="s">
        <v>12</v>
      </c>
      <c r="G210" s="82">
        <f t="shared" si="7"/>
        <v>0</v>
      </c>
      <c r="H210" s="82">
        <f t="shared" si="7"/>
        <v>0</v>
      </c>
      <c r="I210" s="71">
        <f t="shared" si="3"/>
        <v>0</v>
      </c>
    </row>
    <row r="211" spans="1:9" s="29" customFormat="1" ht="12.75">
      <c r="A211" s="76"/>
      <c r="B211" s="69"/>
      <c r="C211" s="69"/>
      <c r="D211" s="69"/>
      <c r="E211" s="69" t="s">
        <v>53</v>
      </c>
      <c r="F211" s="69"/>
      <c r="G211" s="71">
        <f t="shared" si="7"/>
        <v>11000</v>
      </c>
      <c r="H211" s="71">
        <f t="shared" si="7"/>
        <v>562</v>
      </c>
      <c r="I211" s="71">
        <f t="shared" si="3"/>
        <v>-10438</v>
      </c>
    </row>
    <row r="212" spans="1:9" s="29" customFormat="1" ht="12.75">
      <c r="A212" s="76"/>
      <c r="B212" s="69"/>
      <c r="C212" s="69"/>
      <c r="D212" s="69"/>
      <c r="E212" s="69" t="s">
        <v>55</v>
      </c>
      <c r="F212" s="69"/>
      <c r="G212" s="71">
        <f t="shared" si="7"/>
        <v>159000</v>
      </c>
      <c r="H212" s="71">
        <f t="shared" si="7"/>
        <v>43112.29</v>
      </c>
      <c r="I212" s="71">
        <f t="shared" si="3"/>
        <v>-115887.70999999999</v>
      </c>
    </row>
    <row r="213" spans="1:9" s="29" customFormat="1" ht="12.75">
      <c r="A213" s="76"/>
      <c r="B213" s="69"/>
      <c r="C213" s="69"/>
      <c r="D213" s="69"/>
      <c r="E213" s="69" t="s">
        <v>62</v>
      </c>
      <c r="F213" s="69"/>
      <c r="G213" s="71">
        <f>G141+G147+G146</f>
        <v>84000</v>
      </c>
      <c r="H213" s="71">
        <f>H141+H147+H146</f>
        <v>50062.68</v>
      </c>
      <c r="I213" s="71">
        <f t="shared" si="3"/>
        <v>-33937.32</v>
      </c>
    </row>
    <row r="214" spans="1:9" s="29" customFormat="1" ht="12.75">
      <c r="A214" s="76"/>
      <c r="B214" s="69"/>
      <c r="C214" s="69"/>
      <c r="D214" s="69"/>
      <c r="E214" s="69" t="s">
        <v>39</v>
      </c>
      <c r="F214" s="69"/>
      <c r="G214" s="71">
        <f>G142</f>
        <v>65000</v>
      </c>
      <c r="H214" s="71">
        <f>H142</f>
        <v>7000</v>
      </c>
      <c r="I214" s="71">
        <f t="shared" si="3"/>
        <v>-58000</v>
      </c>
    </row>
    <row r="215" spans="1:9" s="29" customFormat="1" ht="12.75">
      <c r="A215" s="76"/>
      <c r="B215" s="69"/>
      <c r="C215" s="69"/>
      <c r="D215" s="69"/>
      <c r="E215" s="69" t="s">
        <v>40</v>
      </c>
      <c r="F215" s="69"/>
      <c r="G215" s="71">
        <f>G216+G217</f>
        <v>268000</v>
      </c>
      <c r="H215" s="71">
        <f>H216+H217</f>
        <v>22300</v>
      </c>
      <c r="I215" s="71">
        <f t="shared" ref="I215:I225" si="8">H215-G215</f>
        <v>-245700</v>
      </c>
    </row>
    <row r="216" spans="1:9" s="29" customFormat="1" ht="12.75">
      <c r="A216" s="76"/>
      <c r="B216" s="69"/>
      <c r="C216" s="69"/>
      <c r="D216" s="69"/>
      <c r="E216" s="69" t="s">
        <v>40</v>
      </c>
      <c r="F216" s="69" t="s">
        <v>85</v>
      </c>
      <c r="G216" s="71">
        <f>G144</f>
        <v>120000</v>
      </c>
      <c r="H216" s="71">
        <f>H144</f>
        <v>20000</v>
      </c>
      <c r="I216" s="71">
        <f t="shared" si="8"/>
        <v>-100000</v>
      </c>
    </row>
    <row r="217" spans="1:9" s="29" customFormat="1" ht="12.75">
      <c r="A217" s="76"/>
      <c r="B217" s="69"/>
      <c r="C217" s="69"/>
      <c r="D217" s="69"/>
      <c r="E217" s="69" t="s">
        <v>40</v>
      </c>
      <c r="F217" s="69" t="s">
        <v>41</v>
      </c>
      <c r="G217" s="71">
        <f>G145</f>
        <v>148000</v>
      </c>
      <c r="H217" s="71">
        <f>H145</f>
        <v>2300</v>
      </c>
      <c r="I217" s="71">
        <f t="shared" si="8"/>
        <v>-145700</v>
      </c>
    </row>
    <row r="218" spans="1:9" s="29" customFormat="1" ht="12.75">
      <c r="A218" s="81" t="s">
        <v>154</v>
      </c>
      <c r="B218" s="69" t="s">
        <v>98</v>
      </c>
      <c r="C218" s="69" t="s">
        <v>108</v>
      </c>
      <c r="D218" s="69" t="s">
        <v>109</v>
      </c>
      <c r="E218" s="69"/>
      <c r="F218" s="69"/>
      <c r="G218" s="71">
        <f>G215+G214+G213+G203+G199</f>
        <v>11171000</v>
      </c>
      <c r="H218" s="71">
        <f>H215+H214+H213+H203+H199</f>
        <v>1094211.22</v>
      </c>
      <c r="I218" s="71">
        <f t="shared" si="8"/>
        <v>-10076788.779999999</v>
      </c>
    </row>
    <row r="219" spans="1:9" s="9" customFormat="1" ht="15" customHeight="1">
      <c r="A219" s="8"/>
      <c r="B219" s="189" t="s">
        <v>18</v>
      </c>
      <c r="C219" s="189"/>
      <c r="D219" s="189"/>
      <c r="E219" s="189"/>
      <c r="F219" s="189"/>
      <c r="G219" s="190" t="s">
        <v>19</v>
      </c>
      <c r="H219" s="190" t="s">
        <v>20</v>
      </c>
      <c r="I219" s="190" t="s">
        <v>21</v>
      </c>
    </row>
    <row r="220" spans="1:9" s="9" customFormat="1" ht="77.25" customHeight="1">
      <c r="A220" s="8"/>
      <c r="B220" s="46" t="s">
        <v>22</v>
      </c>
      <c r="C220" s="46" t="s">
        <v>23</v>
      </c>
      <c r="D220" s="46" t="s">
        <v>24</v>
      </c>
      <c r="E220" s="46" t="s">
        <v>25</v>
      </c>
      <c r="F220" s="46" t="s">
        <v>26</v>
      </c>
      <c r="G220" s="191"/>
      <c r="H220" s="191"/>
      <c r="I220" s="191"/>
    </row>
    <row r="221" spans="1:9" s="9" customFormat="1" ht="18.75" customHeight="1">
      <c r="A221" s="76" t="s">
        <v>110</v>
      </c>
      <c r="B221" s="69" t="s">
        <v>111</v>
      </c>
      <c r="C221" s="69" t="s">
        <v>108</v>
      </c>
      <c r="D221" s="69" t="s">
        <v>109</v>
      </c>
      <c r="E221" s="69" t="s">
        <v>149</v>
      </c>
      <c r="F221" s="46"/>
      <c r="G221" s="83">
        <f>G222+G223+G224</f>
        <v>126801000</v>
      </c>
      <c r="H221" s="83">
        <f>H222+H223+H224</f>
        <v>12084189.220000001</v>
      </c>
      <c r="I221" s="71">
        <f t="shared" si="8"/>
        <v>-114716810.78</v>
      </c>
    </row>
    <row r="222" spans="1:9" s="29" customFormat="1" ht="12.75">
      <c r="A222" s="76"/>
      <c r="B222" s="69"/>
      <c r="C222" s="69"/>
      <c r="D222" s="69"/>
      <c r="E222" s="69" t="s">
        <v>33</v>
      </c>
      <c r="F222" s="69"/>
      <c r="G222" s="71">
        <f>G152+G173+G200</f>
        <v>97297000</v>
      </c>
      <c r="H222" s="71">
        <f>H152+H173+H200</f>
        <v>10011087.33</v>
      </c>
      <c r="I222" s="71">
        <f t="shared" si="8"/>
        <v>-87285912.670000002</v>
      </c>
    </row>
    <row r="223" spans="1:9" s="29" customFormat="1">
      <c r="A223" s="57"/>
      <c r="B223" s="69"/>
      <c r="C223" s="69"/>
      <c r="D223" s="69"/>
      <c r="E223" s="69" t="s">
        <v>45</v>
      </c>
      <c r="F223" s="69"/>
      <c r="G223" s="71">
        <f>G153+G174+G201+G195</f>
        <v>119000</v>
      </c>
      <c r="H223" s="71">
        <f>H153+H174+H201+H195</f>
        <v>0</v>
      </c>
      <c r="I223" s="71">
        <f t="shared" si="8"/>
        <v>-119000</v>
      </c>
    </row>
    <row r="224" spans="1:9" s="29" customFormat="1">
      <c r="A224" s="57"/>
      <c r="B224" s="69"/>
      <c r="C224" s="69"/>
      <c r="D224" s="69"/>
      <c r="E224" s="69" t="s">
        <v>35</v>
      </c>
      <c r="F224" s="69"/>
      <c r="G224" s="71">
        <f>G154+G175+G202</f>
        <v>29385000</v>
      </c>
      <c r="H224" s="71">
        <f>H154+H175+H202</f>
        <v>2073101.89</v>
      </c>
      <c r="I224" s="71">
        <f t="shared" si="8"/>
        <v>-27311898.109999999</v>
      </c>
    </row>
    <row r="225" spans="1:9" s="29" customFormat="1">
      <c r="A225" s="57"/>
      <c r="B225" s="69"/>
      <c r="C225" s="69"/>
      <c r="D225" s="69"/>
      <c r="E225" s="69" t="s">
        <v>150</v>
      </c>
      <c r="F225" s="69"/>
      <c r="G225" s="71">
        <f>G226+G227+G228+G233+G234</f>
        <v>33856000</v>
      </c>
      <c r="H225" s="71">
        <f>H226+H227+H228+H233+H234</f>
        <v>7141563.5799999991</v>
      </c>
      <c r="I225" s="71">
        <f t="shared" si="8"/>
        <v>-26714436.420000002</v>
      </c>
    </row>
    <row r="226" spans="1:9" s="29" customFormat="1" ht="12.75">
      <c r="A226" s="76"/>
      <c r="B226" s="69"/>
      <c r="C226" s="69"/>
      <c r="D226" s="69"/>
      <c r="E226" s="69" t="s">
        <v>49</v>
      </c>
      <c r="F226" s="69"/>
      <c r="G226" s="71">
        <f>G156+G177+G204</f>
        <v>489000</v>
      </c>
      <c r="H226" s="71">
        <f>H156+H177+H204</f>
        <v>50506.389999999992</v>
      </c>
      <c r="I226" s="71">
        <f>H226-G226</f>
        <v>-438493.61</v>
      </c>
    </row>
    <row r="227" spans="1:9" s="29" customFormat="1" ht="12.75">
      <c r="A227" s="76"/>
      <c r="B227" s="69"/>
      <c r="C227" s="69"/>
      <c r="D227" s="69"/>
      <c r="E227" s="69" t="s">
        <v>47</v>
      </c>
      <c r="F227" s="69"/>
      <c r="G227" s="71">
        <f>G157+G178+G205+G196</f>
        <v>68000</v>
      </c>
      <c r="H227" s="71">
        <f>H157+H178+H205+H196</f>
        <v>0</v>
      </c>
      <c r="I227" s="71">
        <f t="shared" ref="I227:I287" si="9">H227-G227</f>
        <v>-68000</v>
      </c>
    </row>
    <row r="228" spans="1:9" s="29" customFormat="1" ht="12.75">
      <c r="A228" s="76"/>
      <c r="B228" s="69"/>
      <c r="C228" s="69"/>
      <c r="D228" s="69"/>
      <c r="E228" s="69" t="s">
        <v>51</v>
      </c>
      <c r="F228" s="69"/>
      <c r="G228" s="71">
        <f>G158+G179+G206</f>
        <v>30526000</v>
      </c>
      <c r="H228" s="71">
        <f>H158+H179+H206</f>
        <v>6874686.6499999994</v>
      </c>
      <c r="I228" s="71">
        <f t="shared" si="9"/>
        <v>-23651313.350000001</v>
      </c>
    </row>
    <row r="229" spans="1:9" s="9" customFormat="1" ht="22.5">
      <c r="A229" s="72"/>
      <c r="B229" s="73"/>
      <c r="C229" s="73"/>
      <c r="D229" s="73"/>
      <c r="E229" s="73"/>
      <c r="F229" s="74" t="s">
        <v>9</v>
      </c>
      <c r="G229" s="82">
        <f t="shared" ref="G229:H232" si="10">G207+G180+G159</f>
        <v>27828500</v>
      </c>
      <c r="H229" s="82">
        <f t="shared" si="10"/>
        <v>5879269.29</v>
      </c>
      <c r="I229" s="71">
        <f t="shared" si="9"/>
        <v>-21949230.710000001</v>
      </c>
    </row>
    <row r="230" spans="1:9" s="9" customFormat="1" ht="22.5">
      <c r="A230" s="72"/>
      <c r="B230" s="73"/>
      <c r="C230" s="73"/>
      <c r="D230" s="73"/>
      <c r="E230" s="73"/>
      <c r="F230" s="74" t="s">
        <v>10</v>
      </c>
      <c r="G230" s="82">
        <f t="shared" si="10"/>
        <v>2026500</v>
      </c>
      <c r="H230" s="82">
        <f t="shared" si="10"/>
        <v>847159.60000000009</v>
      </c>
      <c r="I230" s="71">
        <f t="shared" si="9"/>
        <v>-1179340.3999999999</v>
      </c>
    </row>
    <row r="231" spans="1:9" s="9" customFormat="1" ht="22.5">
      <c r="A231" s="72"/>
      <c r="B231" s="73"/>
      <c r="C231" s="73"/>
      <c r="D231" s="73"/>
      <c r="E231" s="73"/>
      <c r="F231" s="74" t="s">
        <v>11</v>
      </c>
      <c r="G231" s="82">
        <f t="shared" si="10"/>
        <v>434800</v>
      </c>
      <c r="H231" s="82">
        <f t="shared" si="10"/>
        <v>80000</v>
      </c>
      <c r="I231" s="71">
        <f t="shared" si="9"/>
        <v>-354800</v>
      </c>
    </row>
    <row r="232" spans="1:9" s="9" customFormat="1" ht="12.75">
      <c r="A232" s="72"/>
      <c r="B232" s="73"/>
      <c r="C232" s="73"/>
      <c r="D232" s="73"/>
      <c r="E232" s="73"/>
      <c r="F232" s="74" t="s">
        <v>12</v>
      </c>
      <c r="G232" s="82">
        <f t="shared" si="10"/>
        <v>236200</v>
      </c>
      <c r="H232" s="82">
        <f t="shared" si="10"/>
        <v>68257.759999999995</v>
      </c>
      <c r="I232" s="71">
        <f t="shared" si="9"/>
        <v>-167942.24</v>
      </c>
    </row>
    <row r="233" spans="1:9" s="29" customFormat="1" ht="12.75">
      <c r="A233" s="76"/>
      <c r="B233" s="69"/>
      <c r="C233" s="69"/>
      <c r="D233" s="69"/>
      <c r="E233" s="69" t="s">
        <v>53</v>
      </c>
      <c r="F233" s="69"/>
      <c r="G233" s="71">
        <f>G163+G184+G211</f>
        <v>1060000</v>
      </c>
      <c r="H233" s="71">
        <f>H163+H184+H211</f>
        <v>42792.11</v>
      </c>
      <c r="I233" s="71">
        <f t="shared" si="9"/>
        <v>-1017207.89</v>
      </c>
    </row>
    <row r="234" spans="1:9" s="29" customFormat="1" ht="12.75">
      <c r="A234" s="76"/>
      <c r="B234" s="69"/>
      <c r="C234" s="69"/>
      <c r="D234" s="69"/>
      <c r="E234" s="69" t="s">
        <v>55</v>
      </c>
      <c r="F234" s="69"/>
      <c r="G234" s="71">
        <f>G164+G185+G212+G197</f>
        <v>1713000</v>
      </c>
      <c r="H234" s="71">
        <f>H164+H185+H212+H197</f>
        <v>173578.43000000002</v>
      </c>
      <c r="I234" s="71">
        <f t="shared" si="9"/>
        <v>-1539421.57</v>
      </c>
    </row>
    <row r="235" spans="1:9" s="29" customFormat="1" ht="12.75">
      <c r="A235" s="76"/>
      <c r="B235" s="69"/>
      <c r="C235" s="69"/>
      <c r="D235" s="69"/>
      <c r="E235" s="69" t="s">
        <v>62</v>
      </c>
      <c r="F235" s="69"/>
      <c r="G235" s="71">
        <f>G165+G186+G213</f>
        <v>2763100</v>
      </c>
      <c r="H235" s="71">
        <f>H165+H186+H213</f>
        <v>465482.89999999997</v>
      </c>
      <c r="I235" s="71">
        <f t="shared" si="9"/>
        <v>-2297617.1</v>
      </c>
    </row>
    <row r="236" spans="1:9" s="29" customFormat="1" ht="12.75">
      <c r="A236" s="76"/>
      <c r="B236" s="69"/>
      <c r="C236" s="69"/>
      <c r="D236" s="69"/>
      <c r="E236" s="69" t="s">
        <v>39</v>
      </c>
      <c r="F236" s="69"/>
      <c r="G236" s="71">
        <f>G166+G187+G214</f>
        <v>773000</v>
      </c>
      <c r="H236" s="71">
        <f>H166+H187+H214</f>
        <v>9699</v>
      </c>
      <c r="I236" s="71">
        <f t="shared" si="9"/>
        <v>-763301</v>
      </c>
    </row>
    <row r="237" spans="1:9" s="29" customFormat="1" ht="12.75">
      <c r="A237" s="76"/>
      <c r="B237" s="69"/>
      <c r="C237" s="69"/>
      <c r="D237" s="69"/>
      <c r="E237" s="69" t="s">
        <v>40</v>
      </c>
      <c r="F237" s="69"/>
      <c r="G237" s="71">
        <f>G238+G239+G240++G242+G241</f>
        <v>11956900</v>
      </c>
      <c r="H237" s="71">
        <f>H238+H239+H240++H242+H241</f>
        <v>1796413.82</v>
      </c>
      <c r="I237" s="71">
        <f t="shared" si="9"/>
        <v>-10160486.18</v>
      </c>
    </row>
    <row r="238" spans="1:9" s="29" customFormat="1" ht="12.75">
      <c r="A238" s="76"/>
      <c r="B238" s="69"/>
      <c r="C238" s="69"/>
      <c r="D238" s="69"/>
      <c r="E238" s="69" t="s">
        <v>40</v>
      </c>
      <c r="F238" s="69" t="s">
        <v>57</v>
      </c>
      <c r="G238" s="71">
        <f>G170+G189</f>
        <v>7158000</v>
      </c>
      <c r="H238" s="71">
        <f>H170+H189</f>
        <v>1398205.02</v>
      </c>
      <c r="I238" s="71">
        <f>H238-G238</f>
        <v>-5759794.9800000004</v>
      </c>
    </row>
    <row r="239" spans="1:9" s="29" customFormat="1" ht="12.75">
      <c r="A239" s="76"/>
      <c r="B239" s="69"/>
      <c r="C239" s="69"/>
      <c r="D239" s="69"/>
      <c r="E239" s="69" t="s">
        <v>40</v>
      </c>
      <c r="F239" s="69" t="s">
        <v>59</v>
      </c>
      <c r="G239" s="71">
        <f>G169+G190</f>
        <v>166000</v>
      </c>
      <c r="H239" s="71">
        <f>H169+H190</f>
        <v>0</v>
      </c>
      <c r="I239" s="71">
        <f>H239-G239</f>
        <v>-166000</v>
      </c>
    </row>
    <row r="240" spans="1:9" s="29" customFormat="1" ht="12.75">
      <c r="A240" s="76"/>
      <c r="B240" s="69"/>
      <c r="C240" s="69"/>
      <c r="D240" s="69"/>
      <c r="E240" s="69" t="s">
        <v>40</v>
      </c>
      <c r="F240" s="69" t="s">
        <v>85</v>
      </c>
      <c r="G240" s="71">
        <f>G191+G216</f>
        <v>120000</v>
      </c>
      <c r="H240" s="71">
        <f>H191+H216</f>
        <v>20000</v>
      </c>
      <c r="I240" s="71">
        <f>H240-G240</f>
        <v>-100000</v>
      </c>
    </row>
    <row r="241" spans="1:9" s="29" customFormat="1" ht="12.75">
      <c r="A241" s="76"/>
      <c r="B241" s="69"/>
      <c r="C241" s="69"/>
      <c r="D241" s="69"/>
      <c r="E241" s="69" t="s">
        <v>40</v>
      </c>
      <c r="F241" s="69" t="s">
        <v>41</v>
      </c>
      <c r="G241" s="71">
        <f>G168+G192+G217</f>
        <v>2412900</v>
      </c>
      <c r="H241" s="71">
        <f>H168+H192+H217</f>
        <v>47800</v>
      </c>
      <c r="I241" s="71">
        <f>H241-G241</f>
        <v>-2365100</v>
      </c>
    </row>
    <row r="242" spans="1:9" s="29" customFormat="1" ht="12.75">
      <c r="A242" s="76"/>
      <c r="B242" s="69"/>
      <c r="C242" s="69"/>
      <c r="D242" s="69"/>
      <c r="E242" s="69" t="s">
        <v>40</v>
      </c>
      <c r="F242" s="69" t="s">
        <v>88</v>
      </c>
      <c r="G242" s="71">
        <f>G193</f>
        <v>2100000</v>
      </c>
      <c r="H242" s="71">
        <f>H193</f>
        <v>330408.8</v>
      </c>
      <c r="I242" s="71">
        <f t="shared" si="9"/>
        <v>-1769591.2</v>
      </c>
    </row>
    <row r="243" spans="1:9" s="29" customFormat="1" ht="12.75">
      <c r="A243" s="76" t="s">
        <v>155</v>
      </c>
      <c r="B243" s="69" t="s">
        <v>111</v>
      </c>
      <c r="C243" s="69" t="s">
        <v>108</v>
      </c>
      <c r="D243" s="69" t="s">
        <v>109</v>
      </c>
      <c r="E243" s="69"/>
      <c r="F243" s="69"/>
      <c r="G243" s="71">
        <f>G237+G236+G235+G225+G221</f>
        <v>176150000</v>
      </c>
      <c r="H243" s="71">
        <f>H237+H236+H235+H225+H221</f>
        <v>21497348.52</v>
      </c>
      <c r="I243" s="71">
        <f t="shared" si="9"/>
        <v>-154652651.47999999</v>
      </c>
    </row>
    <row r="244" spans="1:9" s="29" customFormat="1" ht="12.75">
      <c r="A244" s="76" t="s">
        <v>112</v>
      </c>
      <c r="B244" s="69" t="s">
        <v>113</v>
      </c>
      <c r="C244" s="69" t="s">
        <v>108</v>
      </c>
      <c r="D244" s="69" t="s">
        <v>109</v>
      </c>
      <c r="E244" s="69" t="s">
        <v>45</v>
      </c>
      <c r="F244" s="69"/>
      <c r="G244" s="71">
        <f>G253</f>
        <v>8010000</v>
      </c>
      <c r="H244" s="71">
        <f>H253</f>
        <v>274713.38</v>
      </c>
      <c r="I244" s="71">
        <f>H244-G244</f>
        <v>-7735286.6200000001</v>
      </c>
    </row>
    <row r="245" spans="1:9" s="29" customFormat="1" ht="12.75">
      <c r="A245" s="76"/>
      <c r="B245" s="69"/>
      <c r="C245" s="69"/>
      <c r="D245" s="69"/>
      <c r="E245" s="69" t="s">
        <v>55</v>
      </c>
      <c r="F245" s="69"/>
      <c r="G245" s="71">
        <f>G263</f>
        <v>5328000</v>
      </c>
      <c r="H245" s="71">
        <f>H263</f>
        <v>847000</v>
      </c>
      <c r="I245" s="71">
        <f>H245-G245</f>
        <v>-4481000</v>
      </c>
    </row>
    <row r="246" spans="1:9" s="29" customFormat="1" ht="12.75">
      <c r="A246" s="84"/>
      <c r="B246" s="69"/>
      <c r="C246" s="69"/>
      <c r="D246" s="69"/>
      <c r="E246" s="69" t="s">
        <v>114</v>
      </c>
      <c r="F246" s="69"/>
      <c r="G246" s="71">
        <f>G264</f>
        <v>10069000</v>
      </c>
      <c r="H246" s="71">
        <f>H264</f>
        <v>1362634.75</v>
      </c>
      <c r="I246" s="71">
        <f>H246-G246</f>
        <v>-8706365.25</v>
      </c>
    </row>
    <row r="247" spans="1:9" s="29" customFormat="1" ht="12.75">
      <c r="A247" s="84"/>
      <c r="B247" s="69"/>
      <c r="C247" s="69"/>
      <c r="D247" s="69"/>
      <c r="E247" s="69" t="s">
        <v>115</v>
      </c>
      <c r="F247" s="69"/>
      <c r="G247" s="71">
        <f>G254</f>
        <v>1028000</v>
      </c>
      <c r="H247" s="71">
        <f>H254</f>
        <v>85898.42</v>
      </c>
      <c r="I247" s="71">
        <f>H247-G247</f>
        <v>-942101.58</v>
      </c>
    </row>
    <row r="248" spans="1:9" s="29" customFormat="1" ht="12.75">
      <c r="A248" s="76" t="s">
        <v>156</v>
      </c>
      <c r="B248" s="69" t="s">
        <v>113</v>
      </c>
      <c r="C248" s="69" t="s">
        <v>108</v>
      </c>
      <c r="D248" s="69" t="s">
        <v>109</v>
      </c>
      <c r="E248" s="69"/>
      <c r="F248" s="69"/>
      <c r="G248" s="71">
        <f>SUM(G244:G247)</f>
        <v>24435000</v>
      </c>
      <c r="H248" s="71">
        <f>SUM(H244:H247)</f>
        <v>2570246.5499999998</v>
      </c>
      <c r="I248" s="71">
        <f>H248-G248</f>
        <v>-21864753.449999999</v>
      </c>
    </row>
    <row r="249" spans="1:9" s="12" customFormat="1" ht="12.75">
      <c r="A249" s="85" t="s">
        <v>157</v>
      </c>
      <c r="B249" s="24"/>
      <c r="C249" s="24"/>
      <c r="D249" s="24"/>
      <c r="E249" s="24"/>
      <c r="F249" s="24"/>
      <c r="G249" s="25"/>
      <c r="H249" s="25"/>
      <c r="I249" s="25"/>
    </row>
    <row r="250" spans="1:9" s="7" customFormat="1" ht="12.75">
      <c r="A250" s="86" t="s">
        <v>93</v>
      </c>
      <c r="B250" s="87" t="s">
        <v>116</v>
      </c>
      <c r="C250" s="87" t="s">
        <v>117</v>
      </c>
      <c r="D250" s="87" t="s">
        <v>43</v>
      </c>
      <c r="E250" s="87" t="s">
        <v>45</v>
      </c>
      <c r="F250" s="87"/>
      <c r="G250" s="88">
        <f>200000+8800000-990000</f>
        <v>8010000</v>
      </c>
      <c r="H250" s="88">
        <v>274713.38</v>
      </c>
      <c r="I250" s="14">
        <f t="shared" si="9"/>
        <v>-7735286.6200000001</v>
      </c>
    </row>
    <row r="251" spans="1:9" s="7" customFormat="1" ht="12.75">
      <c r="A251" s="86" t="s">
        <v>93</v>
      </c>
      <c r="B251" s="87" t="s">
        <v>116</v>
      </c>
      <c r="C251" s="87" t="s">
        <v>117</v>
      </c>
      <c r="D251" s="87" t="s">
        <v>118</v>
      </c>
      <c r="E251" s="87" t="s">
        <v>45</v>
      </c>
      <c r="F251" s="87"/>
      <c r="G251" s="88"/>
      <c r="H251" s="88"/>
      <c r="I251" s="14">
        <f t="shared" si="9"/>
        <v>0</v>
      </c>
    </row>
    <row r="252" spans="1:9" s="7" customFormat="1" ht="25.5">
      <c r="A252" s="86" t="s">
        <v>158</v>
      </c>
      <c r="B252" s="87" t="s">
        <v>116</v>
      </c>
      <c r="C252" s="87" t="s">
        <v>117</v>
      </c>
      <c r="D252" s="87" t="s">
        <v>118</v>
      </c>
      <c r="E252" s="87" t="s">
        <v>115</v>
      </c>
      <c r="F252" s="87"/>
      <c r="G252" s="88">
        <f>38000+990000</f>
        <v>1028000</v>
      </c>
      <c r="H252" s="88">
        <v>85898.42</v>
      </c>
      <c r="I252" s="14">
        <f t="shared" si="9"/>
        <v>-942101.58</v>
      </c>
    </row>
    <row r="253" spans="1:9" s="29" customFormat="1" ht="12.75">
      <c r="A253" s="89" t="s">
        <v>93</v>
      </c>
      <c r="B253" s="69" t="s">
        <v>116</v>
      </c>
      <c r="C253" s="69" t="s">
        <v>108</v>
      </c>
      <c r="D253" s="69" t="s">
        <v>109</v>
      </c>
      <c r="E253" s="69" t="s">
        <v>45</v>
      </c>
      <c r="F253" s="69"/>
      <c r="G253" s="71">
        <f>G251+G250</f>
        <v>8010000</v>
      </c>
      <c r="H253" s="71">
        <f>H251+H250</f>
        <v>274713.38</v>
      </c>
      <c r="I253" s="71">
        <f>I251+I250</f>
        <v>-7735286.6200000001</v>
      </c>
    </row>
    <row r="254" spans="1:9" s="29" customFormat="1" ht="25.5">
      <c r="A254" s="89" t="s">
        <v>158</v>
      </c>
      <c r="B254" s="69" t="s">
        <v>116</v>
      </c>
      <c r="C254" s="69" t="s">
        <v>108</v>
      </c>
      <c r="D254" s="69" t="s">
        <v>109</v>
      </c>
      <c r="E254" s="69" t="s">
        <v>115</v>
      </c>
      <c r="F254" s="69"/>
      <c r="G254" s="71">
        <f>G252</f>
        <v>1028000</v>
      </c>
      <c r="H254" s="71">
        <f>H252</f>
        <v>85898.42</v>
      </c>
      <c r="I254" s="71">
        <f t="shared" si="9"/>
        <v>-942101.58</v>
      </c>
    </row>
    <row r="255" spans="1:9" s="29" customFormat="1" ht="12.75">
      <c r="A255" s="76" t="s">
        <v>159</v>
      </c>
      <c r="B255" s="69" t="s">
        <v>116</v>
      </c>
      <c r="C255" s="69" t="s">
        <v>108</v>
      </c>
      <c r="D255" s="69" t="s">
        <v>109</v>
      </c>
      <c r="E255" s="69"/>
      <c r="F255" s="69"/>
      <c r="G255" s="71">
        <f>SUM(G253:G254)</f>
        <v>9038000</v>
      </c>
      <c r="H255" s="71">
        <f>SUM(H253:H254)</f>
        <v>360611.8</v>
      </c>
      <c r="I255" s="71">
        <f t="shared" si="9"/>
        <v>-8677388.1999999993</v>
      </c>
    </row>
    <row r="256" spans="1:9" s="7" customFormat="1" ht="12.75">
      <c r="A256" s="89" t="s">
        <v>160</v>
      </c>
      <c r="B256" s="87" t="s">
        <v>119</v>
      </c>
      <c r="C256" s="87" t="s">
        <v>120</v>
      </c>
      <c r="D256" s="87" t="s">
        <v>118</v>
      </c>
      <c r="E256" s="87" t="s">
        <v>114</v>
      </c>
      <c r="F256" s="87"/>
      <c r="G256" s="88">
        <v>4779000</v>
      </c>
      <c r="H256" s="88">
        <v>739000</v>
      </c>
      <c r="I256" s="14">
        <f t="shared" si="9"/>
        <v>-4040000</v>
      </c>
    </row>
    <row r="257" spans="1:9" s="7" customFormat="1" ht="25.5">
      <c r="A257" s="89" t="s">
        <v>161</v>
      </c>
      <c r="B257" s="87" t="s">
        <v>119</v>
      </c>
      <c r="C257" s="87" t="s">
        <v>121</v>
      </c>
      <c r="D257" s="87" t="s">
        <v>118</v>
      </c>
      <c r="E257" s="87" t="s">
        <v>55</v>
      </c>
      <c r="F257" s="87"/>
      <c r="G257" s="88">
        <v>5328000</v>
      </c>
      <c r="H257" s="88">
        <v>847000</v>
      </c>
      <c r="I257" s="14">
        <f t="shared" si="9"/>
        <v>-4481000</v>
      </c>
    </row>
    <row r="258" spans="1:9" s="7" customFormat="1" ht="12.75">
      <c r="A258" s="89" t="s">
        <v>162</v>
      </c>
      <c r="B258" s="87" t="s">
        <v>119</v>
      </c>
      <c r="C258" s="87" t="s">
        <v>122</v>
      </c>
      <c r="D258" s="87" t="s">
        <v>118</v>
      </c>
      <c r="E258" s="87" t="s">
        <v>114</v>
      </c>
      <c r="F258" s="87"/>
      <c r="G258" s="88">
        <v>3083000</v>
      </c>
      <c r="H258" s="88">
        <v>510642.45</v>
      </c>
      <c r="I258" s="14">
        <f t="shared" si="9"/>
        <v>-2572357.5499999998</v>
      </c>
    </row>
    <row r="259" spans="1:9" s="7" customFormat="1" ht="22.5">
      <c r="A259" s="90" t="s">
        <v>163</v>
      </c>
      <c r="B259" s="87" t="s">
        <v>119</v>
      </c>
      <c r="C259" s="87" t="s">
        <v>123</v>
      </c>
      <c r="D259" s="87" t="s">
        <v>118</v>
      </c>
      <c r="E259" s="87" t="s">
        <v>114</v>
      </c>
      <c r="F259" s="87"/>
      <c r="G259" s="88">
        <v>20000</v>
      </c>
      <c r="H259" s="88"/>
      <c r="I259" s="14">
        <f t="shared" si="9"/>
        <v>-20000</v>
      </c>
    </row>
    <row r="260" spans="1:9" s="7" customFormat="1" ht="33" customHeight="1">
      <c r="A260" s="90" t="s">
        <v>164</v>
      </c>
      <c r="B260" s="87" t="s">
        <v>119</v>
      </c>
      <c r="C260" s="87" t="s">
        <v>124</v>
      </c>
      <c r="D260" s="87" t="s">
        <v>118</v>
      </c>
      <c r="E260" s="87" t="s">
        <v>114</v>
      </c>
      <c r="F260" s="87"/>
      <c r="G260" s="88">
        <v>400000</v>
      </c>
      <c r="H260" s="88"/>
      <c r="I260" s="14">
        <f t="shared" si="9"/>
        <v>-400000</v>
      </c>
    </row>
    <row r="261" spans="1:9" s="7" customFormat="1" ht="12.75">
      <c r="A261" s="90" t="s">
        <v>165</v>
      </c>
      <c r="B261" s="87" t="s">
        <v>119</v>
      </c>
      <c r="C261" s="87" t="s">
        <v>125</v>
      </c>
      <c r="D261" s="87" t="s">
        <v>118</v>
      </c>
      <c r="E261" s="87" t="s">
        <v>114</v>
      </c>
      <c r="F261" s="87"/>
      <c r="G261" s="88">
        <v>1627000</v>
      </c>
      <c r="H261" s="88">
        <v>112992.3</v>
      </c>
      <c r="I261" s="14">
        <f t="shared" si="9"/>
        <v>-1514007.7</v>
      </c>
    </row>
    <row r="262" spans="1:9" s="7" customFormat="1" ht="22.5">
      <c r="A262" s="90" t="s">
        <v>166</v>
      </c>
      <c r="B262" s="87" t="s">
        <v>119</v>
      </c>
      <c r="C262" s="87" t="s">
        <v>126</v>
      </c>
      <c r="D262" s="87" t="s">
        <v>118</v>
      </c>
      <c r="E262" s="87" t="s">
        <v>114</v>
      </c>
      <c r="F262" s="87"/>
      <c r="G262" s="88">
        <v>160000</v>
      </c>
      <c r="H262" s="88"/>
      <c r="I262" s="14">
        <f t="shared" si="9"/>
        <v>-160000</v>
      </c>
    </row>
    <row r="263" spans="1:9" s="29" customFormat="1" ht="12.75">
      <c r="A263" s="91"/>
      <c r="B263" s="69" t="s">
        <v>119</v>
      </c>
      <c r="C263" s="69" t="s">
        <v>108</v>
      </c>
      <c r="D263" s="69" t="s">
        <v>109</v>
      </c>
      <c r="E263" s="69" t="s">
        <v>55</v>
      </c>
      <c r="F263" s="69"/>
      <c r="G263" s="71">
        <f>G257</f>
        <v>5328000</v>
      </c>
      <c r="H263" s="71">
        <f>H257</f>
        <v>847000</v>
      </c>
      <c r="I263" s="71">
        <f t="shared" si="9"/>
        <v>-4481000</v>
      </c>
    </row>
    <row r="264" spans="1:9" s="29" customFormat="1" ht="12.75">
      <c r="A264" s="91"/>
      <c r="B264" s="69" t="s">
        <v>119</v>
      </c>
      <c r="C264" s="69" t="s">
        <v>108</v>
      </c>
      <c r="D264" s="69" t="s">
        <v>109</v>
      </c>
      <c r="E264" s="69" t="s">
        <v>114</v>
      </c>
      <c r="F264" s="69"/>
      <c r="G264" s="71">
        <f>G256+G258+G259+G260+G261+G262</f>
        <v>10069000</v>
      </c>
      <c r="H264" s="71">
        <f>H256+H258+H259+H260+H261+H262</f>
        <v>1362634.75</v>
      </c>
      <c r="I264" s="71">
        <f t="shared" si="9"/>
        <v>-8706365.25</v>
      </c>
    </row>
    <row r="265" spans="1:9" s="29" customFormat="1" ht="12.75">
      <c r="A265" s="76" t="s">
        <v>167</v>
      </c>
      <c r="B265" s="69" t="s">
        <v>119</v>
      </c>
      <c r="C265" s="69" t="s">
        <v>108</v>
      </c>
      <c r="D265" s="69" t="s">
        <v>109</v>
      </c>
      <c r="E265" s="69"/>
      <c r="F265" s="69"/>
      <c r="G265" s="71">
        <f>SUM(G263:G264)</f>
        <v>15397000</v>
      </c>
      <c r="H265" s="71">
        <f>SUM(H263:H264)</f>
        <v>2209634.75</v>
      </c>
      <c r="I265" s="71">
        <f t="shared" si="9"/>
        <v>-13187365.25</v>
      </c>
    </row>
    <row r="266" spans="1:9" s="9" customFormat="1" ht="15" customHeight="1">
      <c r="A266" s="8"/>
      <c r="B266" s="189" t="s">
        <v>18</v>
      </c>
      <c r="C266" s="189"/>
      <c r="D266" s="189"/>
      <c r="E266" s="189"/>
      <c r="F266" s="189"/>
      <c r="G266" s="190" t="s">
        <v>19</v>
      </c>
      <c r="H266" s="190" t="s">
        <v>20</v>
      </c>
      <c r="I266" s="190" t="s">
        <v>21</v>
      </c>
    </row>
    <row r="267" spans="1:9" s="9" customFormat="1" ht="77.25" customHeight="1">
      <c r="A267" s="8"/>
      <c r="B267" s="46" t="s">
        <v>22</v>
      </c>
      <c r="C267" s="46" t="s">
        <v>23</v>
      </c>
      <c r="D267" s="46" t="s">
        <v>24</v>
      </c>
      <c r="E267" s="46" t="s">
        <v>25</v>
      </c>
      <c r="F267" s="46" t="s">
        <v>26</v>
      </c>
      <c r="G267" s="191"/>
      <c r="H267" s="191"/>
      <c r="I267" s="191"/>
    </row>
    <row r="268" spans="1:9" s="9" customFormat="1" ht="35.25" customHeight="1">
      <c r="A268" s="76" t="s">
        <v>127</v>
      </c>
      <c r="B268" s="69" t="s">
        <v>128</v>
      </c>
      <c r="C268" s="69" t="s">
        <v>108</v>
      </c>
      <c r="D268" s="69" t="s">
        <v>109</v>
      </c>
      <c r="E268" s="69" t="s">
        <v>149</v>
      </c>
      <c r="F268" s="46"/>
      <c r="G268" s="70">
        <f>G269+G270+G271</f>
        <v>134811000</v>
      </c>
      <c r="H268" s="70">
        <f>H269+H270+H271</f>
        <v>12358902.600000001</v>
      </c>
      <c r="I268" s="71">
        <f t="shared" si="9"/>
        <v>-122452097.40000001</v>
      </c>
    </row>
    <row r="269" spans="1:9" s="29" customFormat="1" ht="12.75">
      <c r="A269" s="76"/>
      <c r="B269" s="69"/>
      <c r="C269" s="69"/>
      <c r="D269" s="69"/>
      <c r="E269" s="69" t="s">
        <v>33</v>
      </c>
      <c r="F269" s="69"/>
      <c r="G269" s="71">
        <f>G222</f>
        <v>97297000</v>
      </c>
      <c r="H269" s="71">
        <f>H222</f>
        <v>10011087.33</v>
      </c>
      <c r="I269" s="71">
        <f t="shared" si="9"/>
        <v>-87285912.670000002</v>
      </c>
    </row>
    <row r="270" spans="1:9" s="29" customFormat="1" ht="12.75">
      <c r="A270" s="84"/>
      <c r="B270" s="69"/>
      <c r="C270" s="69"/>
      <c r="D270" s="69"/>
      <c r="E270" s="69" t="s">
        <v>45</v>
      </c>
      <c r="F270" s="69"/>
      <c r="G270" s="71">
        <f>G223+G244</f>
        <v>8129000</v>
      </c>
      <c r="H270" s="71">
        <f>H223+H244</f>
        <v>274713.38</v>
      </c>
      <c r="I270" s="71">
        <f t="shared" si="9"/>
        <v>-7854286.6200000001</v>
      </c>
    </row>
    <row r="271" spans="1:9" s="29" customFormat="1" ht="12.75">
      <c r="A271" s="84"/>
      <c r="B271" s="69"/>
      <c r="C271" s="69"/>
      <c r="D271" s="69"/>
      <c r="E271" s="69" t="s">
        <v>35</v>
      </c>
      <c r="F271" s="69"/>
      <c r="G271" s="71">
        <f>G224</f>
        <v>29385000</v>
      </c>
      <c r="H271" s="71">
        <f>H224</f>
        <v>2073101.89</v>
      </c>
      <c r="I271" s="71">
        <f t="shared" si="9"/>
        <v>-27311898.109999999</v>
      </c>
    </row>
    <row r="272" spans="1:9" s="29" customFormat="1" ht="12.75">
      <c r="A272" s="84"/>
      <c r="B272" s="69"/>
      <c r="C272" s="69"/>
      <c r="D272" s="69"/>
      <c r="E272" s="69" t="s">
        <v>150</v>
      </c>
      <c r="F272" s="69"/>
      <c r="G272" s="71">
        <f>G273+G274+G275+G280+G281</f>
        <v>39184000</v>
      </c>
      <c r="H272" s="71">
        <f>H273+H274+H275+H280+H281</f>
        <v>7988563.5799999991</v>
      </c>
      <c r="I272" s="71">
        <f t="shared" si="9"/>
        <v>-31195436.420000002</v>
      </c>
    </row>
    <row r="273" spans="1:9" s="29" customFormat="1" ht="12.75">
      <c r="A273" s="84"/>
      <c r="B273" s="69"/>
      <c r="C273" s="69"/>
      <c r="D273" s="69"/>
      <c r="E273" s="69" t="s">
        <v>49</v>
      </c>
      <c r="F273" s="69"/>
      <c r="G273" s="71">
        <f t="shared" ref="G273:H280" si="11">G226</f>
        <v>489000</v>
      </c>
      <c r="H273" s="71">
        <f t="shared" si="11"/>
        <v>50506.389999999992</v>
      </c>
      <c r="I273" s="71">
        <f t="shared" si="9"/>
        <v>-438493.61</v>
      </c>
    </row>
    <row r="274" spans="1:9" s="29" customFormat="1" ht="12.75">
      <c r="A274" s="76"/>
      <c r="B274" s="69"/>
      <c r="C274" s="69"/>
      <c r="D274" s="69"/>
      <c r="E274" s="69" t="s">
        <v>47</v>
      </c>
      <c r="F274" s="69"/>
      <c r="G274" s="71">
        <f t="shared" si="11"/>
        <v>68000</v>
      </c>
      <c r="H274" s="71">
        <f t="shared" si="11"/>
        <v>0</v>
      </c>
      <c r="I274" s="71">
        <f t="shared" si="9"/>
        <v>-68000</v>
      </c>
    </row>
    <row r="275" spans="1:9" s="29" customFormat="1" ht="12.75">
      <c r="A275" s="76"/>
      <c r="B275" s="69"/>
      <c r="C275" s="69"/>
      <c r="D275" s="69"/>
      <c r="E275" s="69" t="s">
        <v>51</v>
      </c>
      <c r="F275" s="69"/>
      <c r="G275" s="71">
        <f t="shared" si="11"/>
        <v>30526000</v>
      </c>
      <c r="H275" s="71">
        <f t="shared" si="11"/>
        <v>6874686.6499999994</v>
      </c>
      <c r="I275" s="71">
        <f t="shared" si="9"/>
        <v>-23651313.350000001</v>
      </c>
    </row>
    <row r="276" spans="1:9" s="30" customFormat="1" ht="22.5">
      <c r="A276" s="72"/>
      <c r="B276" s="73"/>
      <c r="C276" s="73"/>
      <c r="D276" s="73"/>
      <c r="E276" s="73"/>
      <c r="F276" s="74" t="s">
        <v>9</v>
      </c>
      <c r="G276" s="82">
        <f t="shared" si="11"/>
        <v>27828500</v>
      </c>
      <c r="H276" s="82">
        <f t="shared" si="11"/>
        <v>5879269.29</v>
      </c>
      <c r="I276" s="71">
        <f t="shared" si="9"/>
        <v>-21949230.710000001</v>
      </c>
    </row>
    <row r="277" spans="1:9" s="30" customFormat="1" ht="22.5">
      <c r="A277" s="72"/>
      <c r="B277" s="73"/>
      <c r="C277" s="73"/>
      <c r="D277" s="73"/>
      <c r="E277" s="73"/>
      <c r="F277" s="74" t="s">
        <v>10</v>
      </c>
      <c r="G277" s="82">
        <f t="shared" si="11"/>
        <v>2026500</v>
      </c>
      <c r="H277" s="82">
        <f t="shared" si="11"/>
        <v>847159.60000000009</v>
      </c>
      <c r="I277" s="71">
        <f t="shared" si="9"/>
        <v>-1179340.3999999999</v>
      </c>
    </row>
    <row r="278" spans="1:9" s="30" customFormat="1" ht="22.5">
      <c r="A278" s="72"/>
      <c r="B278" s="73"/>
      <c r="C278" s="73"/>
      <c r="D278" s="73"/>
      <c r="E278" s="73"/>
      <c r="F278" s="74" t="s">
        <v>11</v>
      </c>
      <c r="G278" s="82">
        <f t="shared" si="11"/>
        <v>434800</v>
      </c>
      <c r="H278" s="82">
        <f t="shared" si="11"/>
        <v>80000</v>
      </c>
      <c r="I278" s="71">
        <f t="shared" si="9"/>
        <v>-354800</v>
      </c>
    </row>
    <row r="279" spans="1:9" s="30" customFormat="1" ht="12.75">
      <c r="A279" s="72"/>
      <c r="B279" s="73"/>
      <c r="C279" s="73"/>
      <c r="D279" s="73"/>
      <c r="E279" s="73"/>
      <c r="F279" s="74" t="s">
        <v>12</v>
      </c>
      <c r="G279" s="82">
        <f t="shared" si="11"/>
        <v>236200</v>
      </c>
      <c r="H279" s="82">
        <f t="shared" si="11"/>
        <v>68257.759999999995</v>
      </c>
      <c r="I279" s="71">
        <f t="shared" si="9"/>
        <v>-167942.24</v>
      </c>
    </row>
    <row r="280" spans="1:9" s="29" customFormat="1" ht="12.75">
      <c r="A280" s="76"/>
      <c r="B280" s="69"/>
      <c r="C280" s="69"/>
      <c r="D280" s="69"/>
      <c r="E280" s="69" t="s">
        <v>53</v>
      </c>
      <c r="F280" s="69"/>
      <c r="G280" s="71">
        <f t="shared" si="11"/>
        <v>1060000</v>
      </c>
      <c r="H280" s="71">
        <f t="shared" si="11"/>
        <v>42792.11</v>
      </c>
      <c r="I280" s="71">
        <f t="shared" si="9"/>
        <v>-1017207.89</v>
      </c>
    </row>
    <row r="281" spans="1:9" s="29" customFormat="1" ht="12.75">
      <c r="A281" s="76"/>
      <c r="B281" s="69"/>
      <c r="C281" s="69"/>
      <c r="D281" s="69"/>
      <c r="E281" s="69" t="s">
        <v>55</v>
      </c>
      <c r="F281" s="69"/>
      <c r="G281" s="71">
        <f>G234+G245</f>
        <v>7041000</v>
      </c>
      <c r="H281" s="71">
        <f>H234+H245</f>
        <v>1020578.43</v>
      </c>
      <c r="I281" s="71">
        <f t="shared" si="9"/>
        <v>-6020421.5700000003</v>
      </c>
    </row>
    <row r="282" spans="1:9" s="29" customFormat="1" ht="12.75">
      <c r="A282" s="76"/>
      <c r="B282" s="69"/>
      <c r="C282" s="69"/>
      <c r="D282" s="69"/>
      <c r="E282" s="69" t="s">
        <v>168</v>
      </c>
      <c r="F282" s="69"/>
      <c r="G282" s="71">
        <f>G283+G284</f>
        <v>11097000</v>
      </c>
      <c r="H282" s="71">
        <f>H283+H284</f>
        <v>1448533.17</v>
      </c>
      <c r="I282" s="71">
        <f t="shared" si="9"/>
        <v>-9648466.8300000001</v>
      </c>
    </row>
    <row r="283" spans="1:9" s="29" customFormat="1" ht="12.75">
      <c r="A283" s="76"/>
      <c r="B283" s="69"/>
      <c r="C283" s="69"/>
      <c r="D283" s="69"/>
      <c r="E283" s="69" t="s">
        <v>114</v>
      </c>
      <c r="F283" s="69"/>
      <c r="G283" s="71">
        <f>G246</f>
        <v>10069000</v>
      </c>
      <c r="H283" s="71">
        <f>H246</f>
        <v>1362634.75</v>
      </c>
      <c r="I283" s="71">
        <f t="shared" si="9"/>
        <v>-8706365.25</v>
      </c>
    </row>
    <row r="284" spans="1:9" s="29" customFormat="1" ht="12.75">
      <c r="A284" s="76"/>
      <c r="B284" s="69"/>
      <c r="C284" s="69"/>
      <c r="D284" s="69"/>
      <c r="E284" s="69" t="s">
        <v>115</v>
      </c>
      <c r="F284" s="69"/>
      <c r="G284" s="71">
        <f>G247</f>
        <v>1028000</v>
      </c>
      <c r="H284" s="71">
        <f>H247</f>
        <v>85898.42</v>
      </c>
      <c r="I284" s="71">
        <f t="shared" si="9"/>
        <v>-942101.58</v>
      </c>
    </row>
    <row r="285" spans="1:9" s="29" customFormat="1" ht="12.75">
      <c r="A285" s="76"/>
      <c r="B285" s="69"/>
      <c r="C285" s="69"/>
      <c r="D285" s="69"/>
      <c r="E285" s="69" t="s">
        <v>62</v>
      </c>
      <c r="F285" s="69"/>
      <c r="G285" s="71">
        <f>G235</f>
        <v>2763100</v>
      </c>
      <c r="H285" s="71">
        <f>H235</f>
        <v>465482.89999999997</v>
      </c>
      <c r="I285" s="71">
        <f t="shared" si="9"/>
        <v>-2297617.1</v>
      </c>
    </row>
    <row r="286" spans="1:9" s="29" customFormat="1" ht="12.75">
      <c r="A286" s="76"/>
      <c r="B286" s="69"/>
      <c r="C286" s="69"/>
      <c r="D286" s="69"/>
      <c r="E286" s="69" t="s">
        <v>39</v>
      </c>
      <c r="F286" s="69"/>
      <c r="G286" s="71">
        <f>G236</f>
        <v>773000</v>
      </c>
      <c r="H286" s="71">
        <f>H236</f>
        <v>9699</v>
      </c>
      <c r="I286" s="71">
        <f t="shared" si="9"/>
        <v>-763301</v>
      </c>
    </row>
    <row r="287" spans="1:9" s="29" customFormat="1" ht="12.75">
      <c r="A287" s="76"/>
      <c r="B287" s="69"/>
      <c r="C287" s="69"/>
      <c r="D287" s="69"/>
      <c r="E287" s="69" t="s">
        <v>40</v>
      </c>
      <c r="F287" s="69"/>
      <c r="G287" s="71">
        <f>G288+G289+G290+G291+G292</f>
        <v>11956900</v>
      </c>
      <c r="H287" s="71">
        <f>H288+H289+H290+H291+H292</f>
        <v>1796413.82</v>
      </c>
      <c r="I287" s="71">
        <f t="shared" si="9"/>
        <v>-10160486.18</v>
      </c>
    </row>
    <row r="288" spans="1:9" s="29" customFormat="1" ht="12.75">
      <c r="A288" s="76"/>
      <c r="B288" s="69"/>
      <c r="C288" s="69"/>
      <c r="D288" s="69"/>
      <c r="E288" s="69" t="s">
        <v>40</v>
      </c>
      <c r="F288" s="69" t="s">
        <v>57</v>
      </c>
      <c r="G288" s="71">
        <f t="shared" ref="G288:H292" si="12">G238</f>
        <v>7158000</v>
      </c>
      <c r="H288" s="71">
        <f t="shared" si="12"/>
        <v>1398205.02</v>
      </c>
      <c r="I288" s="71">
        <f>H288-G288</f>
        <v>-5759794.9800000004</v>
      </c>
    </row>
    <row r="289" spans="1:9" s="29" customFormat="1" ht="12.75">
      <c r="A289" s="76"/>
      <c r="B289" s="69"/>
      <c r="C289" s="69"/>
      <c r="D289" s="69"/>
      <c r="E289" s="69" t="s">
        <v>40</v>
      </c>
      <c r="F289" s="69" t="s">
        <v>59</v>
      </c>
      <c r="G289" s="71">
        <f t="shared" si="12"/>
        <v>166000</v>
      </c>
      <c r="H289" s="71">
        <f t="shared" si="12"/>
        <v>0</v>
      </c>
      <c r="I289" s="71">
        <f>H289-G289</f>
        <v>-166000</v>
      </c>
    </row>
    <row r="290" spans="1:9" s="29" customFormat="1" ht="12.75">
      <c r="A290" s="76"/>
      <c r="B290" s="69"/>
      <c r="C290" s="69"/>
      <c r="D290" s="69"/>
      <c r="E290" s="69" t="s">
        <v>40</v>
      </c>
      <c r="F290" s="69" t="s">
        <v>85</v>
      </c>
      <c r="G290" s="71">
        <f t="shared" si="12"/>
        <v>120000</v>
      </c>
      <c r="H290" s="71">
        <f>H240</f>
        <v>20000</v>
      </c>
      <c r="I290" s="71"/>
    </row>
    <row r="291" spans="1:9" s="29" customFormat="1" ht="12.75">
      <c r="A291" s="76"/>
      <c r="B291" s="69"/>
      <c r="C291" s="69"/>
      <c r="D291" s="69"/>
      <c r="E291" s="69" t="s">
        <v>40</v>
      </c>
      <c r="F291" s="69" t="s">
        <v>41</v>
      </c>
      <c r="G291" s="71">
        <f t="shared" si="12"/>
        <v>2412900</v>
      </c>
      <c r="H291" s="71">
        <f t="shared" si="12"/>
        <v>47800</v>
      </c>
      <c r="I291" s="71">
        <f>H291-G291</f>
        <v>-2365100</v>
      </c>
    </row>
    <row r="292" spans="1:9" s="29" customFormat="1" ht="12.75">
      <c r="A292" s="76"/>
      <c r="B292" s="69"/>
      <c r="C292" s="69"/>
      <c r="D292" s="69"/>
      <c r="E292" s="69" t="s">
        <v>40</v>
      </c>
      <c r="F292" s="69" t="s">
        <v>88</v>
      </c>
      <c r="G292" s="71">
        <f t="shared" si="12"/>
        <v>2100000</v>
      </c>
      <c r="H292" s="71">
        <f t="shared" si="12"/>
        <v>330408.8</v>
      </c>
      <c r="I292" s="71">
        <f>H292-G292</f>
        <v>-1769591.2</v>
      </c>
    </row>
    <row r="293" spans="1:9" s="29" customFormat="1" ht="25.5">
      <c r="A293" s="76" t="s">
        <v>169</v>
      </c>
      <c r="B293" s="69"/>
      <c r="C293" s="69"/>
      <c r="D293" s="69"/>
      <c r="E293" s="69"/>
      <c r="F293" s="69"/>
      <c r="G293" s="71">
        <f>G287+G282+G285+G286+G272+G268</f>
        <v>200585000</v>
      </c>
      <c r="H293" s="71">
        <f>H287+H282+H285+H286+H272+H268</f>
        <v>24067595.07</v>
      </c>
      <c r="I293" s="71">
        <f>H293-G293</f>
        <v>-176517404.93000001</v>
      </c>
    </row>
    <row r="294" spans="1:9">
      <c r="A294" s="28"/>
    </row>
    <row r="295" spans="1:9">
      <c r="A295" s="28"/>
    </row>
    <row r="296" spans="1:9">
      <c r="A296" s="28"/>
    </row>
    <row r="297" spans="1:9">
      <c r="A297" s="28"/>
    </row>
    <row r="298" spans="1:9">
      <c r="A298" s="28"/>
    </row>
  </sheetData>
  <mergeCells count="25">
    <mergeCell ref="B149:F149"/>
    <mergeCell ref="I149:I150"/>
    <mergeCell ref="G122:G123"/>
    <mergeCell ref="G85:G86"/>
    <mergeCell ref="H85:H86"/>
    <mergeCell ref="I85:I86"/>
    <mergeCell ref="I122:I123"/>
    <mergeCell ref="G149:G150"/>
    <mergeCell ref="H149:H150"/>
    <mergeCell ref="I266:I267"/>
    <mergeCell ref="B219:F219"/>
    <mergeCell ref="G219:G220"/>
    <mergeCell ref="H219:H220"/>
    <mergeCell ref="I219:I220"/>
    <mergeCell ref="B266:F266"/>
    <mergeCell ref="G266:G267"/>
    <mergeCell ref="H266:H267"/>
    <mergeCell ref="A2:I2"/>
    <mergeCell ref="B3:F3"/>
    <mergeCell ref="G3:G4"/>
    <mergeCell ref="H3:H4"/>
    <mergeCell ref="I3:I4"/>
    <mergeCell ref="B122:F122"/>
    <mergeCell ref="H122:H123"/>
    <mergeCell ref="B85:F85"/>
  </mergeCells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D21" sqref="D21"/>
    </sheetView>
  </sheetViews>
  <sheetFormatPr defaultRowHeight="15"/>
  <cols>
    <col min="1" max="1" width="49.140625" style="4" customWidth="1"/>
    <col min="2" max="6" width="9.140625" style="4"/>
    <col min="7" max="7" width="11.85546875" style="4" customWidth="1"/>
    <col min="8" max="8" width="9.140625" style="4"/>
    <col min="9" max="9" width="13" style="4" customWidth="1"/>
    <col min="10" max="16384" width="9.140625" style="4"/>
  </cols>
  <sheetData>
    <row r="1" spans="1:9" s="32" customFormat="1" ht="12.75">
      <c r="A1" s="32" t="s">
        <v>135</v>
      </c>
    </row>
    <row r="2" spans="1:9" s="12" customFormat="1" ht="20.25" customHeight="1">
      <c r="A2" s="27" t="s">
        <v>105</v>
      </c>
      <c r="B2" s="24"/>
      <c r="C2" s="24"/>
      <c r="D2" s="24"/>
      <c r="E2" s="24"/>
      <c r="F2" s="24"/>
      <c r="G2" s="25"/>
      <c r="H2" s="25"/>
      <c r="I2" s="25"/>
    </row>
    <row r="3" spans="1:9" s="23" customFormat="1" ht="45.75" customHeight="1">
      <c r="A3" s="20" t="s">
        <v>90</v>
      </c>
      <c r="B3" s="21" t="s">
        <v>98</v>
      </c>
      <c r="C3" s="21" t="s">
        <v>106</v>
      </c>
      <c r="D3" s="21" t="s">
        <v>31</v>
      </c>
      <c r="E3" s="21"/>
      <c r="F3" s="21"/>
      <c r="G3" s="22">
        <f>G4+G5</f>
        <v>9707000</v>
      </c>
      <c r="H3" s="22">
        <f>H4+H5</f>
        <v>0</v>
      </c>
      <c r="I3" s="22">
        <f t="shared" ref="I3:I26" si="0">H3-G3</f>
        <v>-9707000</v>
      </c>
    </row>
    <row r="4" spans="1:9" s="23" customFormat="1" ht="15" customHeight="1">
      <c r="A4" s="20" t="s">
        <v>101</v>
      </c>
      <c r="B4" s="21" t="s">
        <v>98</v>
      </c>
      <c r="C4" s="21" t="s">
        <v>106</v>
      </c>
      <c r="D4" s="21" t="s">
        <v>31</v>
      </c>
      <c r="E4" s="21" t="s">
        <v>33</v>
      </c>
      <c r="F4" s="21"/>
      <c r="G4" s="22">
        <v>7455000</v>
      </c>
      <c r="H4" s="22"/>
      <c r="I4" s="22">
        <f t="shared" si="0"/>
        <v>-7455000</v>
      </c>
    </row>
    <row r="5" spans="1:9" s="23" customFormat="1" ht="27" customHeight="1">
      <c r="A5" s="20" t="s">
        <v>102</v>
      </c>
      <c r="B5" s="21" t="s">
        <v>98</v>
      </c>
      <c r="C5" s="21" t="s">
        <v>106</v>
      </c>
      <c r="D5" s="21" t="s">
        <v>31</v>
      </c>
      <c r="E5" s="21" t="s">
        <v>35</v>
      </c>
      <c r="F5" s="21"/>
      <c r="G5" s="22">
        <v>2252000</v>
      </c>
      <c r="H5" s="22"/>
      <c r="I5" s="22">
        <f t="shared" si="0"/>
        <v>-2252000</v>
      </c>
    </row>
    <row r="6" spans="1:9" s="23" customFormat="1" ht="25.5">
      <c r="A6" s="33" t="s">
        <v>107</v>
      </c>
      <c r="B6" s="21" t="s">
        <v>98</v>
      </c>
      <c r="C6" s="21" t="s">
        <v>106</v>
      </c>
      <c r="D6" s="21" t="s">
        <v>43</v>
      </c>
      <c r="E6" s="21"/>
      <c r="F6" s="21"/>
      <c r="G6" s="22">
        <f>G7+G8</f>
        <v>40000</v>
      </c>
      <c r="H6" s="22">
        <f>H7+H8</f>
        <v>0</v>
      </c>
      <c r="I6" s="22">
        <f t="shared" si="0"/>
        <v>-40000</v>
      </c>
    </row>
    <row r="7" spans="1:9" s="23" customFormat="1" ht="38.25">
      <c r="A7" s="20" t="s">
        <v>44</v>
      </c>
      <c r="B7" s="21" t="s">
        <v>98</v>
      </c>
      <c r="C7" s="21" t="s">
        <v>106</v>
      </c>
      <c r="D7" s="21" t="s">
        <v>43</v>
      </c>
      <c r="E7" s="21" t="s">
        <v>45</v>
      </c>
      <c r="F7" s="21"/>
      <c r="G7" s="22">
        <v>26000</v>
      </c>
      <c r="H7" s="22"/>
      <c r="I7" s="22">
        <f t="shared" si="0"/>
        <v>-26000</v>
      </c>
    </row>
    <row r="8" spans="1:9" s="23" customFormat="1" ht="38.25">
      <c r="A8" s="20" t="s">
        <v>80</v>
      </c>
      <c r="B8" s="21" t="s">
        <v>98</v>
      </c>
      <c r="C8" s="21" t="s">
        <v>106</v>
      </c>
      <c r="D8" s="21" t="s">
        <v>43</v>
      </c>
      <c r="E8" s="21" t="s">
        <v>47</v>
      </c>
      <c r="F8" s="21"/>
      <c r="G8" s="22">
        <v>14000</v>
      </c>
      <c r="H8" s="22"/>
      <c r="I8" s="22">
        <f t="shared" si="0"/>
        <v>-14000</v>
      </c>
    </row>
    <row r="9" spans="1:9" s="9" customFormat="1" ht="25.5">
      <c r="A9" s="26" t="s">
        <v>71</v>
      </c>
      <c r="B9" s="13" t="s">
        <v>98</v>
      </c>
      <c r="C9" s="13" t="s">
        <v>106</v>
      </c>
      <c r="D9" s="13" t="s">
        <v>38</v>
      </c>
      <c r="E9" s="13"/>
      <c r="F9" s="13"/>
      <c r="G9" s="14">
        <f>G10+G11+G12+G17+G18+G19+G20+G21</f>
        <v>874000</v>
      </c>
      <c r="H9" s="14">
        <f>H10+H11+H12+H17+H18+H19+H20+H21</f>
        <v>0</v>
      </c>
      <c r="I9" s="14">
        <f t="shared" si="0"/>
        <v>-874000</v>
      </c>
    </row>
    <row r="10" spans="1:9" s="9" customFormat="1" ht="12.75">
      <c r="A10" s="8" t="s">
        <v>3</v>
      </c>
      <c r="B10" s="13" t="s">
        <v>98</v>
      </c>
      <c r="C10" s="13" t="s">
        <v>106</v>
      </c>
      <c r="D10" s="13" t="s">
        <v>38</v>
      </c>
      <c r="E10" s="13" t="s">
        <v>49</v>
      </c>
      <c r="F10" s="13"/>
      <c r="G10" s="14">
        <v>93000</v>
      </c>
      <c r="H10" s="14"/>
      <c r="I10" s="14">
        <f t="shared" si="0"/>
        <v>-93000</v>
      </c>
    </row>
    <row r="11" spans="1:9" s="9" customFormat="1" ht="12.75">
      <c r="A11" s="28" t="s">
        <v>94</v>
      </c>
      <c r="B11" s="13" t="s">
        <v>98</v>
      </c>
      <c r="C11" s="13" t="s">
        <v>106</v>
      </c>
      <c r="D11" s="13" t="s">
        <v>38</v>
      </c>
      <c r="E11" s="13" t="s">
        <v>47</v>
      </c>
      <c r="F11" s="13"/>
      <c r="G11" s="14">
        <v>7000</v>
      </c>
      <c r="H11" s="14"/>
      <c r="I11" s="14">
        <f t="shared" si="0"/>
        <v>-7000</v>
      </c>
    </row>
    <row r="12" spans="1:9" s="9" customFormat="1" ht="12.75">
      <c r="A12" s="8" t="s">
        <v>50</v>
      </c>
      <c r="B12" s="13" t="s">
        <v>98</v>
      </c>
      <c r="C12" s="13" t="s">
        <v>106</v>
      </c>
      <c r="D12" s="13" t="s">
        <v>38</v>
      </c>
      <c r="E12" s="13" t="s">
        <v>51</v>
      </c>
      <c r="F12" s="13"/>
      <c r="G12" s="14">
        <f>G13+G14+G15+G16</f>
        <v>272000</v>
      </c>
      <c r="H12" s="14">
        <f>H13+H14+H15+H16</f>
        <v>0</v>
      </c>
      <c r="I12" s="14">
        <f t="shared" si="0"/>
        <v>-272000</v>
      </c>
    </row>
    <row r="13" spans="1:9" s="9" customFormat="1" ht="14.25">
      <c r="A13" s="16" t="s">
        <v>9</v>
      </c>
      <c r="B13" s="13"/>
      <c r="C13" s="13"/>
      <c r="D13" s="13"/>
      <c r="E13" s="13"/>
      <c r="F13" s="13"/>
      <c r="G13" s="17">
        <v>272000</v>
      </c>
      <c r="H13" s="15"/>
      <c r="I13" s="14">
        <f t="shared" si="0"/>
        <v>-272000</v>
      </c>
    </row>
    <row r="14" spans="1:9" s="9" customFormat="1" ht="14.25">
      <c r="A14" s="16" t="s">
        <v>10</v>
      </c>
      <c r="B14" s="13"/>
      <c r="C14" s="13"/>
      <c r="D14" s="13"/>
      <c r="E14" s="13"/>
      <c r="F14" s="13"/>
      <c r="G14" s="17"/>
      <c r="H14" s="15"/>
      <c r="I14" s="14">
        <f t="shared" si="0"/>
        <v>0</v>
      </c>
    </row>
    <row r="15" spans="1:9" s="9" customFormat="1" ht="14.25">
      <c r="A15" s="16" t="s">
        <v>11</v>
      </c>
      <c r="B15" s="13"/>
      <c r="C15" s="13"/>
      <c r="D15" s="13"/>
      <c r="E15" s="13"/>
      <c r="F15" s="13"/>
      <c r="G15" s="17"/>
      <c r="H15" s="15"/>
      <c r="I15" s="14">
        <f t="shared" si="0"/>
        <v>0</v>
      </c>
    </row>
    <row r="16" spans="1:9" s="9" customFormat="1" ht="14.25">
      <c r="A16" s="16" t="s">
        <v>12</v>
      </c>
      <c r="B16" s="13"/>
      <c r="C16" s="13"/>
      <c r="D16" s="13"/>
      <c r="E16" s="13"/>
      <c r="F16" s="13"/>
      <c r="G16" s="17"/>
      <c r="H16" s="15"/>
      <c r="I16" s="14">
        <f t="shared" si="0"/>
        <v>0</v>
      </c>
    </row>
    <row r="17" spans="1:9" s="9" customFormat="1" ht="12.75">
      <c r="A17" s="8" t="s">
        <v>52</v>
      </c>
      <c r="B17" s="13" t="s">
        <v>98</v>
      </c>
      <c r="C17" s="13" t="s">
        <v>106</v>
      </c>
      <c r="D17" s="13" t="s">
        <v>38</v>
      </c>
      <c r="E17" s="13" t="s">
        <v>53</v>
      </c>
      <c r="F17" s="13"/>
      <c r="G17" s="14">
        <v>11000</v>
      </c>
      <c r="H17" s="14"/>
      <c r="I17" s="14">
        <f t="shared" si="0"/>
        <v>-11000</v>
      </c>
    </row>
    <row r="18" spans="1:9" s="9" customFormat="1" ht="12.75">
      <c r="A18" s="8" t="s">
        <v>54</v>
      </c>
      <c r="B18" s="13" t="s">
        <v>98</v>
      </c>
      <c r="C18" s="13" t="s">
        <v>106</v>
      </c>
      <c r="D18" s="13" t="s">
        <v>38</v>
      </c>
      <c r="E18" s="13" t="s">
        <v>55</v>
      </c>
      <c r="F18" s="13"/>
      <c r="G18" s="14">
        <v>154000</v>
      </c>
      <c r="H18" s="14"/>
      <c r="I18" s="14">
        <f t="shared" si="0"/>
        <v>-154000</v>
      </c>
    </row>
    <row r="19" spans="1:9" s="23" customFormat="1" ht="12" customHeight="1">
      <c r="A19" s="20" t="s">
        <v>16</v>
      </c>
      <c r="B19" s="21" t="s">
        <v>98</v>
      </c>
      <c r="C19" s="21" t="s">
        <v>106</v>
      </c>
      <c r="D19" s="21" t="s">
        <v>38</v>
      </c>
      <c r="E19" s="21" t="s">
        <v>62</v>
      </c>
      <c r="F19" s="21"/>
      <c r="G19" s="22">
        <v>4000</v>
      </c>
      <c r="H19" s="22"/>
      <c r="I19" s="22">
        <f t="shared" si="0"/>
        <v>-4000</v>
      </c>
    </row>
    <row r="20" spans="1:9" s="9" customFormat="1" ht="12.75">
      <c r="A20" s="8" t="s">
        <v>6</v>
      </c>
      <c r="B20" s="13" t="s">
        <v>98</v>
      </c>
      <c r="C20" s="13" t="s">
        <v>106</v>
      </c>
      <c r="D20" s="13" t="s">
        <v>38</v>
      </c>
      <c r="E20" s="13" t="s">
        <v>39</v>
      </c>
      <c r="F20" s="13"/>
      <c r="G20" s="14">
        <v>65000</v>
      </c>
      <c r="H20" s="14"/>
      <c r="I20" s="14">
        <f t="shared" si="0"/>
        <v>-65000</v>
      </c>
    </row>
    <row r="21" spans="1:9" s="9" customFormat="1" ht="12.75">
      <c r="A21" s="8"/>
      <c r="B21" s="13" t="s">
        <v>98</v>
      </c>
      <c r="C21" s="13" t="s">
        <v>106</v>
      </c>
      <c r="D21" s="13" t="s">
        <v>38</v>
      </c>
      <c r="E21" s="13" t="s">
        <v>40</v>
      </c>
      <c r="F21" s="13"/>
      <c r="G21" s="14">
        <f>G22+G23</f>
        <v>268000</v>
      </c>
      <c r="H21" s="14">
        <f>H22+H23</f>
        <v>0</v>
      </c>
      <c r="I21" s="14">
        <f t="shared" si="0"/>
        <v>-268000</v>
      </c>
    </row>
    <row r="22" spans="1:9" s="9" customFormat="1" ht="12.75">
      <c r="A22" s="8"/>
      <c r="B22" s="13" t="s">
        <v>98</v>
      </c>
      <c r="C22" s="13" t="s">
        <v>106</v>
      </c>
      <c r="D22" s="13" t="s">
        <v>38</v>
      </c>
      <c r="E22" s="13" t="s">
        <v>40</v>
      </c>
      <c r="F22" s="13" t="s">
        <v>85</v>
      </c>
      <c r="G22" s="14"/>
      <c r="H22" s="14"/>
      <c r="I22" s="14">
        <f t="shared" si="0"/>
        <v>0</v>
      </c>
    </row>
    <row r="23" spans="1:9" s="9" customFormat="1" ht="12.75">
      <c r="A23" s="8" t="s">
        <v>7</v>
      </c>
      <c r="B23" s="13" t="s">
        <v>98</v>
      </c>
      <c r="C23" s="13" t="s">
        <v>106</v>
      </c>
      <c r="D23" s="13" t="s">
        <v>38</v>
      </c>
      <c r="E23" s="13" t="s">
        <v>40</v>
      </c>
      <c r="F23" s="13" t="s">
        <v>41</v>
      </c>
      <c r="G23" s="14">
        <v>268000</v>
      </c>
      <c r="H23" s="14"/>
      <c r="I23" s="14">
        <f t="shared" si="0"/>
        <v>-268000</v>
      </c>
    </row>
    <row r="24" spans="1:9" s="23" customFormat="1" ht="25.5">
      <c r="A24" s="34" t="s">
        <v>60</v>
      </c>
      <c r="B24" s="21" t="s">
        <v>98</v>
      </c>
      <c r="C24" s="21" t="s">
        <v>106</v>
      </c>
      <c r="D24" s="21" t="s">
        <v>61</v>
      </c>
      <c r="E24" s="21" t="s">
        <v>62</v>
      </c>
      <c r="F24" s="21"/>
      <c r="G24" s="22">
        <f>30000-100</f>
        <v>29900</v>
      </c>
      <c r="H24" s="22"/>
      <c r="I24" s="22">
        <f>H24-G24</f>
        <v>-29900</v>
      </c>
    </row>
    <row r="25" spans="1:9" s="23" customFormat="1" ht="25.5">
      <c r="A25" s="34" t="s">
        <v>60</v>
      </c>
      <c r="B25" s="21" t="s">
        <v>98</v>
      </c>
      <c r="C25" s="21" t="s">
        <v>106</v>
      </c>
      <c r="D25" s="21" t="s">
        <v>64</v>
      </c>
      <c r="E25" s="21" t="s">
        <v>62</v>
      </c>
      <c r="F25" s="21"/>
      <c r="G25" s="22">
        <f>50000+100</f>
        <v>50100</v>
      </c>
      <c r="H25" s="22"/>
      <c r="I25" s="22">
        <f t="shared" si="0"/>
        <v>-50100</v>
      </c>
    </row>
    <row r="26" spans="1:9" s="12" customFormat="1" ht="12.75">
      <c r="A26" s="35" t="s">
        <v>136</v>
      </c>
      <c r="B26" s="24"/>
      <c r="C26" s="24"/>
      <c r="D26" s="24"/>
      <c r="E26" s="24"/>
      <c r="F26" s="24"/>
      <c r="G26" s="25">
        <f>G25+G24+G9+G6+G3</f>
        <v>10701000</v>
      </c>
      <c r="H26" s="25">
        <f>H25+H24+H9+H6+H3</f>
        <v>0</v>
      </c>
      <c r="I26" s="25">
        <f t="shared" si="0"/>
        <v>-10701000</v>
      </c>
    </row>
    <row r="28" spans="1:9" s="32" customFormat="1" ht="12.75">
      <c r="A28" s="36" t="s">
        <v>137</v>
      </c>
      <c r="G28" s="37">
        <f>G10+G11+G12+G17+G18+G20+G21</f>
        <v>870000</v>
      </c>
    </row>
    <row r="29" spans="1:9" s="32" customFormat="1" ht="12.75">
      <c r="A29" s="38">
        <v>0.5</v>
      </c>
      <c r="G29" s="32">
        <f>G28*50%</f>
        <v>435000</v>
      </c>
    </row>
    <row r="30" spans="1:9">
      <c r="A30" s="39" t="s">
        <v>138</v>
      </c>
      <c r="G30" s="40">
        <f>G28-G12</f>
        <v>598000</v>
      </c>
    </row>
    <row r="31" spans="1:9">
      <c r="A31" s="39" t="s">
        <v>139</v>
      </c>
      <c r="G31" s="40">
        <f>G30-G29</f>
        <v>163000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Лист3</vt:lpstr>
      <vt:lpstr>Дополнительное образование ДЮСШ</vt:lpstr>
      <vt:lpstr>Дополнительное образование  ДДТ</vt:lpstr>
      <vt:lpstr>Лист1</vt:lpstr>
      <vt:lpstr>Лист2</vt:lpstr>
      <vt:lpstr>'Дополнительное образование  ДДТ'!Область_печати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2014-05-12T10:04:28Z</cp:lastPrinted>
  <dcterms:created xsi:type="dcterms:W3CDTF">2006-09-16T00:00:00Z</dcterms:created>
  <dcterms:modified xsi:type="dcterms:W3CDTF">2014-05-12T10:13:06Z</dcterms:modified>
</cp:coreProperties>
</file>